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mc:AlternateContent xmlns:mc="http://schemas.openxmlformats.org/markup-compatibility/2006">
    <mc:Choice Requires="x15">
      <x15ac:absPath xmlns:x15ac="http://schemas.microsoft.com/office/spreadsheetml/2010/11/ac" url="C:\Users\Alex\Dropbox (Personal)\BB\Roster builders\"/>
    </mc:Choice>
  </mc:AlternateContent>
  <xr:revisionPtr revIDLastSave="0" documentId="13_ncr:1_{220B4C70-8A31-4070-9EC3-A9D0E989CCC8}" xr6:coauthVersionLast="47" xr6:coauthVersionMax="47" xr10:uidLastSave="{00000000-0000-0000-0000-000000000000}"/>
  <bookViews>
    <workbookView xWindow="28680" yWindow="-1860" windowWidth="29040" windowHeight="18240" tabRatio="896" firstSheet="1" activeTab="1" xr2:uid="{00000000-000D-0000-FFFF-FFFF00000000}"/>
  </bookViews>
  <sheets>
    <sheet name="File updates" sheetId="66" state="hidden" r:id="rId1"/>
    <sheet name="Overview" sheetId="7" r:id="rId2"/>
    <sheet name="Eurobowl Rules" sheetId="32" r:id="rId3"/>
    <sheet name="Team 1" sheetId="8" r:id="rId4"/>
    <sheet name="Team 2" sheetId="97" r:id="rId5"/>
    <sheet name="Team 3" sheetId="98" r:id="rId6"/>
    <sheet name="Team 4" sheetId="96" r:id="rId7"/>
    <sheet name="Available Rosters" sheetId="30" r:id="rId8"/>
    <sheet name="Available Skills" sheetId="28" r:id="rId9"/>
    <sheet name="Credits" sheetId="85" r:id="rId10"/>
    <sheet name="Blessings" sheetId="43" state="hidden" r:id="rId11"/>
    <sheet name="Star_Players" sheetId="6" state="hidden" r:id="rId12"/>
    <sheet name="Teams" sheetId="2" state="hidden" r:id="rId13"/>
    <sheet name="Players" sheetId="3" state="hidden" r:id="rId14"/>
  </sheets>
  <definedNames>
    <definedName name="_xlnm._FilterDatabase" localSheetId="11" hidden="1">Star_Players!$A$44:$N$88</definedName>
    <definedName name="_xlnm._FilterDatabase" localSheetId="12" hidden="1">Teams!$L$1:$N$11</definedName>
    <definedName name="PlayerList">Players!$B$1:$M$804</definedName>
    <definedName name="PLAYERS">Players!$A$1:$M$804</definedName>
    <definedName name="_xlnm.Print_Area" localSheetId="1">Overview!$A$1:$AA$11</definedName>
    <definedName name="_xlnm.Print_Area" localSheetId="3">'Team 1'!$A$1:$Q$47</definedName>
    <definedName name="_xlnm.Print_Area" localSheetId="4">'Team 2'!$A$1:$Q$47</definedName>
    <definedName name="_xlnm.Print_Area" localSheetId="5">'Team 3'!$A$1:$Q$47</definedName>
    <definedName name="_xlnm.Print_Area" localSheetId="6">'Team 4'!$A$1:$Q$47</definedName>
    <definedName name="Special_Rules_Full_Names">Teams!$L$31:$M$50</definedName>
    <definedName name="SpecialRules">Teams!$L$2:$N$19</definedName>
    <definedName name="SquadName">Overview!$C$2</definedName>
    <definedName name="StarplayerList">Star_Players!$A$45:$M$88</definedName>
    <definedName name="STARS">Star_Players!$A$1:$S$22</definedName>
    <definedName name="TEAMS">Teams!$B$2:$I$31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98" l="1"/>
  <c r="B45" i="98"/>
  <c r="E41" i="98"/>
  <c r="AO40" i="98"/>
  <c r="AN40" i="98"/>
  <c r="AM40" i="98"/>
  <c r="AL40" i="98"/>
  <c r="AK40" i="98"/>
  <c r="AJ40" i="98"/>
  <c r="AI40" i="98"/>
  <c r="AH40" i="98"/>
  <c r="AG40" i="98"/>
  <c r="AF40" i="98"/>
  <c r="AE40" i="98"/>
  <c r="AD40" i="98"/>
  <c r="AC40" i="98"/>
  <c r="AB40" i="98"/>
  <c r="AA40" i="98"/>
  <c r="Z40" i="98"/>
  <c r="Y40" i="98"/>
  <c r="X40" i="98"/>
  <c r="W40" i="98"/>
  <c r="V40" i="98"/>
  <c r="U40" i="98"/>
  <c r="T40" i="98"/>
  <c r="S40" i="98"/>
  <c r="E40" i="98"/>
  <c r="E39" i="98"/>
  <c r="AR38" i="98"/>
  <c r="AS39" i="98" s="1"/>
  <c r="AR37" i="98"/>
  <c r="AS38" i="98" s="1"/>
  <c r="E37" i="98"/>
  <c r="W36" i="98"/>
  <c r="V36" i="98"/>
  <c r="E36" i="98"/>
  <c r="AR35" i="98"/>
  <c r="AS36" i="98" s="1"/>
  <c r="W35" i="98"/>
  <c r="E35" i="98"/>
  <c r="W34" i="98"/>
  <c r="E34" i="98"/>
  <c r="W33" i="98"/>
  <c r="K6" i="98" s="1"/>
  <c r="E33" i="98"/>
  <c r="AR32" i="98"/>
  <c r="AS33" i="98" s="1"/>
  <c r="E32" i="98"/>
  <c r="AR31" i="98"/>
  <c r="AS32" i="98" s="1"/>
  <c r="X31" i="98"/>
  <c r="M31" i="98"/>
  <c r="J31" i="98"/>
  <c r="E31" i="98"/>
  <c r="D31" i="98"/>
  <c r="AR30" i="98"/>
  <c r="AS31" i="98" s="1"/>
  <c r="O28" i="98"/>
  <c r="M28" i="98"/>
  <c r="L28" i="98"/>
  <c r="J28" i="98"/>
  <c r="I28" i="98"/>
  <c r="H28" i="98"/>
  <c r="G28" i="98"/>
  <c r="F28" i="98"/>
  <c r="E28" i="98"/>
  <c r="O27" i="98"/>
  <c r="M27" i="98"/>
  <c r="L27" i="98"/>
  <c r="J27" i="98"/>
  <c r="I27" i="98"/>
  <c r="H27" i="98"/>
  <c r="G27" i="98"/>
  <c r="F27" i="98"/>
  <c r="E27" i="98"/>
  <c r="AF26" i="98"/>
  <c r="AE26" i="98"/>
  <c r="AC26" i="98"/>
  <c r="AA26" i="98"/>
  <c r="Y26" i="98"/>
  <c r="U26" i="98"/>
  <c r="T26" i="98"/>
  <c r="AB26" i="98" s="1"/>
  <c r="S26" i="98"/>
  <c r="L26" i="98"/>
  <c r="J26" i="98"/>
  <c r="I26" i="98"/>
  <c r="H26" i="98"/>
  <c r="G26" i="98"/>
  <c r="F26" i="98"/>
  <c r="E26" i="98"/>
  <c r="AR25" i="98"/>
  <c r="AS26" i="98" s="1"/>
  <c r="AF25" i="98"/>
  <c r="AE25" i="98"/>
  <c r="AC25" i="98"/>
  <c r="Y25" i="98"/>
  <c r="U25" i="98"/>
  <c r="T25" i="98"/>
  <c r="AB25" i="98" s="1"/>
  <c r="S25" i="98"/>
  <c r="AA25" i="98" s="1"/>
  <c r="L25" i="98"/>
  <c r="J25" i="98"/>
  <c r="I25" i="98"/>
  <c r="H25" i="98"/>
  <c r="G25" i="98"/>
  <c r="F25" i="98"/>
  <c r="E25" i="98"/>
  <c r="AF24" i="98"/>
  <c r="AE24" i="98"/>
  <c r="AC24" i="98"/>
  <c r="AA24" i="98"/>
  <c r="Y24" i="98"/>
  <c r="U24" i="98"/>
  <c r="T24" i="98"/>
  <c r="AB24" i="98" s="1"/>
  <c r="S24" i="98"/>
  <c r="L24" i="98"/>
  <c r="J24" i="98"/>
  <c r="I24" i="98"/>
  <c r="H24" i="98"/>
  <c r="G24" i="98"/>
  <c r="F24" i="98"/>
  <c r="E24" i="98"/>
  <c r="AR23" i="98"/>
  <c r="AS24" i="98" s="1"/>
  <c r="AF23" i="98"/>
  <c r="AE23" i="98"/>
  <c r="AC23" i="98"/>
  <c r="AA23" i="98"/>
  <c r="Y23" i="98"/>
  <c r="U23" i="98"/>
  <c r="T23" i="98"/>
  <c r="AB23" i="98" s="1"/>
  <c r="S23" i="98"/>
  <c r="L23" i="98"/>
  <c r="J23" i="98"/>
  <c r="I23" i="98"/>
  <c r="H23" i="98"/>
  <c r="G23" i="98"/>
  <c r="F23" i="98"/>
  <c r="E23" i="98"/>
  <c r="AK22" i="98"/>
  <c r="AM22" i="98" s="1"/>
  <c r="AF22" i="98"/>
  <c r="AE22" i="98"/>
  <c r="AC22" i="98"/>
  <c r="AB22" i="98"/>
  <c r="Y22" i="98"/>
  <c r="U22" i="98"/>
  <c r="T22" i="98"/>
  <c r="S22" i="98"/>
  <c r="AA22" i="98" s="1"/>
  <c r="L22" i="98"/>
  <c r="J22" i="98"/>
  <c r="I22" i="98"/>
  <c r="H22" i="98"/>
  <c r="G22" i="98"/>
  <c r="F22" i="98"/>
  <c r="E22" i="98"/>
  <c r="AF21" i="98"/>
  <c r="AE21" i="98"/>
  <c r="AC21" i="98"/>
  <c r="AA21" i="98"/>
  <c r="Y21" i="98"/>
  <c r="U21" i="98"/>
  <c r="T21" i="98"/>
  <c r="AB21" i="98" s="1"/>
  <c r="S21" i="98"/>
  <c r="L21" i="98"/>
  <c r="J21" i="98"/>
  <c r="I21" i="98"/>
  <c r="H21" i="98"/>
  <c r="G21" i="98"/>
  <c r="F21" i="98"/>
  <c r="E21" i="98"/>
  <c r="AR20" i="98"/>
  <c r="AS21" i="98" s="1"/>
  <c r="AF20" i="98"/>
  <c r="AE20" i="98"/>
  <c r="AC20" i="98"/>
  <c r="AB20" i="98"/>
  <c r="Y20" i="98"/>
  <c r="U20" i="98"/>
  <c r="J20" i="98" s="1"/>
  <c r="T20" i="98"/>
  <c r="S20" i="98"/>
  <c r="AA20" i="98" s="1"/>
  <c r="L20" i="98"/>
  <c r="I20" i="98"/>
  <c r="H20" i="98"/>
  <c r="G20" i="98"/>
  <c r="F20" i="98"/>
  <c r="E20" i="98"/>
  <c r="AF19" i="98"/>
  <c r="AE19" i="98"/>
  <c r="AC19" i="98"/>
  <c r="AA19" i="98"/>
  <c r="Y19" i="98"/>
  <c r="U19" i="98"/>
  <c r="T19" i="98"/>
  <c r="AB19" i="98" s="1"/>
  <c r="S19" i="98"/>
  <c r="L19" i="98"/>
  <c r="J19" i="98"/>
  <c r="I19" i="98"/>
  <c r="H19" i="98"/>
  <c r="G19" i="98"/>
  <c r="F19" i="98"/>
  <c r="E19" i="98"/>
  <c r="AK18" i="98"/>
  <c r="AM18" i="98" s="1"/>
  <c r="AF18" i="98"/>
  <c r="AE18" i="98"/>
  <c r="AC18" i="98"/>
  <c r="AA18" i="98"/>
  <c r="Y18" i="98"/>
  <c r="U18" i="98"/>
  <c r="T18" i="98"/>
  <c r="AB18" i="98" s="1"/>
  <c r="S18" i="98"/>
  <c r="L18" i="98"/>
  <c r="J18" i="98"/>
  <c r="I18" i="98"/>
  <c r="H18" i="98"/>
  <c r="G18" i="98"/>
  <c r="F18" i="98"/>
  <c r="E18" i="98"/>
  <c r="AK17" i="98"/>
  <c r="AM17" i="98" s="1"/>
  <c r="AF17" i="98"/>
  <c r="AE17" i="98"/>
  <c r="AC17" i="98"/>
  <c r="AA17" i="98"/>
  <c r="Y17" i="98"/>
  <c r="U17" i="98"/>
  <c r="T17" i="98"/>
  <c r="AB17" i="98" s="1"/>
  <c r="S17" i="98"/>
  <c r="L17" i="98"/>
  <c r="J17" i="98"/>
  <c r="I17" i="98"/>
  <c r="H17" i="98"/>
  <c r="G17" i="98"/>
  <c r="F17" i="98"/>
  <c r="E17" i="98"/>
  <c r="AK16" i="98"/>
  <c r="AF16" i="98"/>
  <c r="AE16" i="98"/>
  <c r="AC16" i="98"/>
  <c r="AA16" i="98"/>
  <c r="Y16" i="98"/>
  <c r="U16" i="98"/>
  <c r="T16" i="98"/>
  <c r="AB16" i="98" s="1"/>
  <c r="S16" i="98"/>
  <c r="L16" i="98"/>
  <c r="J16" i="98"/>
  <c r="I16" i="98"/>
  <c r="H16" i="98"/>
  <c r="G16" i="98"/>
  <c r="F16" i="98"/>
  <c r="E16" i="98"/>
  <c r="AK15" i="98"/>
  <c r="AF15" i="98"/>
  <c r="AE15" i="98"/>
  <c r="AC15" i="98"/>
  <c r="AA15" i="98"/>
  <c r="Y15" i="98"/>
  <c r="U15" i="98"/>
  <c r="T15" i="98"/>
  <c r="AB15" i="98" s="1"/>
  <c r="S15" i="98"/>
  <c r="L15" i="98"/>
  <c r="J15" i="98"/>
  <c r="I15" i="98"/>
  <c r="H15" i="98"/>
  <c r="G15" i="98"/>
  <c r="F15" i="98"/>
  <c r="E15" i="98"/>
  <c r="AK14" i="98"/>
  <c r="AI14" i="98"/>
  <c r="AF14" i="98"/>
  <c r="AE14" i="98"/>
  <c r="AC14" i="98"/>
  <c r="AA14" i="98"/>
  <c r="Y14" i="98"/>
  <c r="U14" i="98"/>
  <c r="T14" i="98"/>
  <c r="AB14" i="98" s="1"/>
  <c r="S14" i="98"/>
  <c r="L14" i="98"/>
  <c r="J14" i="98"/>
  <c r="I14" i="98"/>
  <c r="H14" i="98"/>
  <c r="G14" i="98"/>
  <c r="F14" i="98"/>
  <c r="E14" i="98"/>
  <c r="AK13" i="98"/>
  <c r="AI13" i="98"/>
  <c r="AF13" i="98"/>
  <c r="AE13" i="98"/>
  <c r="AC13" i="98"/>
  <c r="AA13" i="98"/>
  <c r="Y13" i="98"/>
  <c r="U13" i="98"/>
  <c r="T13" i="98"/>
  <c r="AB13" i="98" s="1"/>
  <c r="S13" i="98"/>
  <c r="L13" i="98"/>
  <c r="J13" i="98"/>
  <c r="I13" i="98"/>
  <c r="H13" i="98"/>
  <c r="G13" i="98"/>
  <c r="F13" i="98"/>
  <c r="E13" i="98"/>
  <c r="AK12" i="98"/>
  <c r="AI12" i="98"/>
  <c r="AK25" i="98" s="1"/>
  <c r="AF12" i="98"/>
  <c r="AE12" i="98"/>
  <c r="AC12" i="98"/>
  <c r="AA12" i="98"/>
  <c r="Y12" i="98"/>
  <c r="U12" i="98"/>
  <c r="T12" i="98"/>
  <c r="AB12" i="98" s="1"/>
  <c r="S12" i="98"/>
  <c r="L12" i="98"/>
  <c r="J12" i="98"/>
  <c r="I12" i="98"/>
  <c r="H12" i="98"/>
  <c r="G12" i="98"/>
  <c r="F12" i="98"/>
  <c r="E12" i="98"/>
  <c r="AI11" i="98"/>
  <c r="AR39" i="98" s="1"/>
  <c r="AS40" i="98" s="1"/>
  <c r="AF11" i="98"/>
  <c r="AE11" i="98"/>
  <c r="AC11" i="98"/>
  <c r="AB11" i="98"/>
  <c r="Y11" i="98"/>
  <c r="U11" i="98"/>
  <c r="T11" i="98"/>
  <c r="S11" i="98"/>
  <c r="AA11" i="98" s="1"/>
  <c r="L11" i="98"/>
  <c r="J11" i="98"/>
  <c r="I11" i="98"/>
  <c r="H11" i="98"/>
  <c r="G11" i="98"/>
  <c r="F11" i="98"/>
  <c r="E11" i="98"/>
  <c r="AI10" i="98"/>
  <c r="M9" i="98"/>
  <c r="K8" i="98"/>
  <c r="K7" i="98"/>
  <c r="D4" i="98"/>
  <c r="D3" i="98"/>
  <c r="V31" i="98" s="1"/>
  <c r="B46" i="97"/>
  <c r="B45" i="97"/>
  <c r="E41" i="97"/>
  <c r="AO40" i="97"/>
  <c r="AN40" i="97"/>
  <c r="AM40" i="97"/>
  <c r="AL40" i="97"/>
  <c r="AK40" i="97"/>
  <c r="AJ40" i="97"/>
  <c r="AI40" i="97"/>
  <c r="AH40" i="97"/>
  <c r="AG40" i="97"/>
  <c r="AF40" i="97"/>
  <c r="AE40" i="97"/>
  <c r="AD40" i="97"/>
  <c r="AC40" i="97"/>
  <c r="AB40" i="97"/>
  <c r="AA40" i="97"/>
  <c r="Z40" i="97"/>
  <c r="Y40" i="97"/>
  <c r="X40" i="97"/>
  <c r="W40" i="97"/>
  <c r="V40" i="97"/>
  <c r="U40" i="97"/>
  <c r="T40" i="97"/>
  <c r="S40" i="97"/>
  <c r="E40" i="97"/>
  <c r="E39" i="97"/>
  <c r="AR38" i="97"/>
  <c r="AS39" i="97" s="1"/>
  <c r="E37" i="97"/>
  <c r="W36" i="97"/>
  <c r="V36" i="97"/>
  <c r="E36" i="97"/>
  <c r="W35" i="97"/>
  <c r="E35" i="97"/>
  <c r="W34" i="97"/>
  <c r="E34" i="97"/>
  <c r="W33" i="97"/>
  <c r="K6" i="97" s="1"/>
  <c r="E33" i="97"/>
  <c r="E32" i="97"/>
  <c r="X31" i="97"/>
  <c r="M31" i="97"/>
  <c r="D31" i="97"/>
  <c r="E31" i="97" s="1"/>
  <c r="O28" i="97"/>
  <c r="M28" i="97"/>
  <c r="L28" i="97"/>
  <c r="J28" i="97"/>
  <c r="I28" i="97"/>
  <c r="H28" i="97"/>
  <c r="G28" i="97"/>
  <c r="F28" i="97"/>
  <c r="E28" i="97"/>
  <c r="O27" i="97"/>
  <c r="M27" i="97"/>
  <c r="L27" i="97"/>
  <c r="J27" i="97"/>
  <c r="I27" i="97"/>
  <c r="H27" i="97"/>
  <c r="G27" i="97"/>
  <c r="F27" i="97"/>
  <c r="E27" i="97"/>
  <c r="AF26" i="97"/>
  <c r="AE26" i="97"/>
  <c r="AC26" i="97"/>
  <c r="Y26" i="97"/>
  <c r="U26" i="97"/>
  <c r="T26" i="97"/>
  <c r="AB26" i="97" s="1"/>
  <c r="S26" i="97"/>
  <c r="AA26" i="97" s="1"/>
  <c r="L26" i="97"/>
  <c r="J26" i="97"/>
  <c r="I26" i="97"/>
  <c r="H26" i="97"/>
  <c r="G26" i="97"/>
  <c r="F26" i="97"/>
  <c r="E26" i="97"/>
  <c r="AF25" i="97"/>
  <c r="AE25" i="97"/>
  <c r="AC25" i="97"/>
  <c r="Y25" i="97"/>
  <c r="U25" i="97"/>
  <c r="T25" i="97"/>
  <c r="AB25" i="97" s="1"/>
  <c r="S25" i="97"/>
  <c r="AA25" i="97" s="1"/>
  <c r="L25" i="97"/>
  <c r="J25" i="97"/>
  <c r="I25" i="97"/>
  <c r="H25" i="97"/>
  <c r="G25" i="97"/>
  <c r="F25" i="97"/>
  <c r="E25" i="97"/>
  <c r="AF24" i="97"/>
  <c r="AE24" i="97"/>
  <c r="AC24" i="97"/>
  <c r="Y24" i="97"/>
  <c r="U24" i="97"/>
  <c r="T24" i="97"/>
  <c r="AB24" i="97" s="1"/>
  <c r="S24" i="97"/>
  <c r="AA24" i="97" s="1"/>
  <c r="L24" i="97"/>
  <c r="J24" i="97"/>
  <c r="I24" i="97"/>
  <c r="H24" i="97"/>
  <c r="G24" i="97"/>
  <c r="F24" i="97"/>
  <c r="E24" i="97"/>
  <c r="AF23" i="97"/>
  <c r="AE23" i="97"/>
  <c r="AC23" i="97"/>
  <c r="Y23" i="97"/>
  <c r="U23" i="97"/>
  <c r="T23" i="97"/>
  <c r="AB23" i="97" s="1"/>
  <c r="S23" i="97"/>
  <c r="AA23" i="97" s="1"/>
  <c r="L23" i="97"/>
  <c r="J23" i="97"/>
  <c r="I23" i="97"/>
  <c r="H23" i="97"/>
  <c r="G23" i="97"/>
  <c r="F23" i="97"/>
  <c r="E23" i="97"/>
  <c r="AF22" i="97"/>
  <c r="AE22" i="97"/>
  <c r="AC22" i="97"/>
  <c r="Y22" i="97"/>
  <c r="U22" i="97"/>
  <c r="T22" i="97"/>
  <c r="AB22" i="97" s="1"/>
  <c r="S22" i="97"/>
  <c r="AA22" i="97" s="1"/>
  <c r="L22" i="97"/>
  <c r="J22" i="97"/>
  <c r="I22" i="97"/>
  <c r="H22" i="97"/>
  <c r="G22" i="97"/>
  <c r="F22" i="97"/>
  <c r="E22" i="97"/>
  <c r="AF21" i="97"/>
  <c r="AE21" i="97"/>
  <c r="AC21" i="97"/>
  <c r="Y21" i="97"/>
  <c r="U21" i="97"/>
  <c r="T21" i="97"/>
  <c r="AB21" i="97" s="1"/>
  <c r="S21" i="97"/>
  <c r="AA21" i="97" s="1"/>
  <c r="L21" i="97"/>
  <c r="J21" i="97"/>
  <c r="I21" i="97"/>
  <c r="H21" i="97"/>
  <c r="G21" i="97"/>
  <c r="F21" i="97"/>
  <c r="E21" i="97"/>
  <c r="AF20" i="97"/>
  <c r="AE20" i="97"/>
  <c r="AC20" i="97"/>
  <c r="Y20" i="97"/>
  <c r="U20" i="97"/>
  <c r="T20" i="97"/>
  <c r="AB20" i="97" s="1"/>
  <c r="S20" i="97"/>
  <c r="AA20" i="97" s="1"/>
  <c r="L20" i="97"/>
  <c r="J20" i="97"/>
  <c r="I20" i="97"/>
  <c r="H20" i="97"/>
  <c r="G20" i="97"/>
  <c r="F20" i="97"/>
  <c r="E20" i="97"/>
  <c r="AF19" i="97"/>
  <c r="AE19" i="97"/>
  <c r="AC19" i="97"/>
  <c r="Y19" i="97"/>
  <c r="U19" i="97"/>
  <c r="T19" i="97"/>
  <c r="AB19" i="97" s="1"/>
  <c r="S19" i="97"/>
  <c r="AA19" i="97" s="1"/>
  <c r="L19" i="97"/>
  <c r="J19" i="97"/>
  <c r="I19" i="97"/>
  <c r="H19" i="97"/>
  <c r="G19" i="97"/>
  <c r="F19" i="97"/>
  <c r="E19" i="97"/>
  <c r="AF18" i="97"/>
  <c r="AE18" i="97"/>
  <c r="AC18" i="97"/>
  <c r="Y18" i="97"/>
  <c r="U18" i="97"/>
  <c r="T18" i="97"/>
  <c r="AB18" i="97" s="1"/>
  <c r="S18" i="97"/>
  <c r="AA18" i="97" s="1"/>
  <c r="L18" i="97"/>
  <c r="J18" i="97"/>
  <c r="I18" i="97"/>
  <c r="H18" i="97"/>
  <c r="G18" i="97"/>
  <c r="F18" i="97"/>
  <c r="E18" i="97"/>
  <c r="AF17" i="97"/>
  <c r="AE17" i="97"/>
  <c r="AC17" i="97"/>
  <c r="Y17" i="97"/>
  <c r="U17" i="97"/>
  <c r="J17" i="97" s="1"/>
  <c r="T17" i="97"/>
  <c r="AB17" i="97" s="1"/>
  <c r="S17" i="97"/>
  <c r="AA17" i="97" s="1"/>
  <c r="L17" i="97"/>
  <c r="I17" i="97"/>
  <c r="H17" i="97"/>
  <c r="G17" i="97"/>
  <c r="F17" i="97"/>
  <c r="E17" i="97"/>
  <c r="AF16" i="97"/>
  <c r="AE16" i="97"/>
  <c r="AC16" i="97"/>
  <c r="Y16" i="97"/>
  <c r="U16" i="97"/>
  <c r="T16" i="97"/>
  <c r="AB16" i="97" s="1"/>
  <c r="S16" i="97"/>
  <c r="AA16" i="97" s="1"/>
  <c r="L16" i="97"/>
  <c r="J16" i="97"/>
  <c r="I16" i="97"/>
  <c r="H16" i="97"/>
  <c r="G16" i="97"/>
  <c r="F16" i="97"/>
  <c r="E16" i="97"/>
  <c r="AF15" i="97"/>
  <c r="AE15" i="97"/>
  <c r="AC15" i="97"/>
  <c r="Y15" i="97"/>
  <c r="U15" i="97"/>
  <c r="J15" i="97" s="1"/>
  <c r="T15" i="97"/>
  <c r="AB15" i="97" s="1"/>
  <c r="S15" i="97"/>
  <c r="AA15" i="97" s="1"/>
  <c r="L15" i="97"/>
  <c r="I15" i="97"/>
  <c r="H15" i="97"/>
  <c r="G15" i="97"/>
  <c r="F15" i="97"/>
  <c r="E15" i="97"/>
  <c r="AI14" i="97"/>
  <c r="AF14" i="97"/>
  <c r="AE14" i="97"/>
  <c r="AC14" i="97"/>
  <c r="Y14" i="97"/>
  <c r="U14" i="97"/>
  <c r="T14" i="97"/>
  <c r="AB14" i="97" s="1"/>
  <c r="S14" i="97"/>
  <c r="AA14" i="97" s="1"/>
  <c r="L14" i="97"/>
  <c r="J14" i="97"/>
  <c r="I14" i="97"/>
  <c r="H14" i="97"/>
  <c r="G14" i="97"/>
  <c r="F14" i="97"/>
  <c r="E14" i="97"/>
  <c r="AI13" i="97"/>
  <c r="AF13" i="97"/>
  <c r="AE13" i="97"/>
  <c r="AC13" i="97"/>
  <c r="Y13" i="97"/>
  <c r="U13" i="97"/>
  <c r="T13" i="97"/>
  <c r="AB13" i="97" s="1"/>
  <c r="S13" i="97"/>
  <c r="AA13" i="97" s="1"/>
  <c r="L13" i="97"/>
  <c r="J13" i="97"/>
  <c r="I13" i="97"/>
  <c r="H13" i="97"/>
  <c r="G13" i="97"/>
  <c r="F13" i="97"/>
  <c r="E13" i="97"/>
  <c r="AI12" i="97"/>
  <c r="AK25" i="97" s="1"/>
  <c r="AF12" i="97"/>
  <c r="AE12" i="97"/>
  <c r="AC12" i="97"/>
  <c r="Y12" i="97"/>
  <c r="U12" i="97"/>
  <c r="T12" i="97"/>
  <c r="AB12" i="97" s="1"/>
  <c r="S12" i="97"/>
  <c r="AA12" i="97" s="1"/>
  <c r="L12" i="97"/>
  <c r="J12" i="97"/>
  <c r="I12" i="97"/>
  <c r="H12" i="97"/>
  <c r="G12" i="97"/>
  <c r="F12" i="97"/>
  <c r="E12" i="97"/>
  <c r="AI11" i="97"/>
  <c r="AR39" i="97" s="1"/>
  <c r="AS40" i="97" s="1"/>
  <c r="AF11" i="97"/>
  <c r="AE11" i="97"/>
  <c r="AC11" i="97"/>
  <c r="Y11" i="97"/>
  <c r="U11" i="97"/>
  <c r="T11" i="97"/>
  <c r="AB11" i="97" s="1"/>
  <c r="S11" i="97"/>
  <c r="AA11" i="97" s="1"/>
  <c r="L11" i="97"/>
  <c r="J11" i="97"/>
  <c r="I11" i="97"/>
  <c r="H11" i="97"/>
  <c r="G11" i="97"/>
  <c r="F11" i="97"/>
  <c r="E11" i="97"/>
  <c r="AI10" i="97"/>
  <c r="M9" i="97"/>
  <c r="K8" i="97"/>
  <c r="K7" i="97"/>
  <c r="D4" i="97"/>
  <c r="D3" i="97"/>
  <c r="V31" i="97" s="1"/>
  <c r="B46" i="96"/>
  <c r="B45" i="96"/>
  <c r="E41" i="96"/>
  <c r="AO40" i="96"/>
  <c r="AN40" i="96"/>
  <c r="AM40" i="96"/>
  <c r="AL40" i="96"/>
  <c r="AK40" i="96"/>
  <c r="AJ40" i="96"/>
  <c r="AI40" i="96"/>
  <c r="AH40" i="96"/>
  <c r="AG40" i="96"/>
  <c r="AF40" i="96"/>
  <c r="AE40" i="96"/>
  <c r="AD40" i="96"/>
  <c r="AC40" i="96"/>
  <c r="AB40" i="96"/>
  <c r="AA40" i="96"/>
  <c r="Z40" i="96"/>
  <c r="Y40" i="96"/>
  <c r="X40" i="96"/>
  <c r="W40" i="96"/>
  <c r="V40" i="96"/>
  <c r="U40" i="96"/>
  <c r="T40" i="96"/>
  <c r="S40" i="96"/>
  <c r="E40" i="96"/>
  <c r="E39" i="96"/>
  <c r="AR38" i="96"/>
  <c r="AS39" i="96" s="1"/>
  <c r="AR37" i="96"/>
  <c r="AS38" i="96" s="1"/>
  <c r="E37" i="96"/>
  <c r="W36" i="96"/>
  <c r="V36" i="96"/>
  <c r="E36" i="96"/>
  <c r="AR35" i="96"/>
  <c r="AS36" i="96" s="1"/>
  <c r="W35" i="96"/>
  <c r="E35" i="96"/>
  <c r="W34" i="96"/>
  <c r="E34" i="96"/>
  <c r="W33" i="96"/>
  <c r="K6" i="96" s="1"/>
  <c r="E33" i="96"/>
  <c r="AR32" i="96"/>
  <c r="AS33" i="96" s="1"/>
  <c r="E32" i="96"/>
  <c r="AR31" i="96"/>
  <c r="AS32" i="96" s="1"/>
  <c r="X31" i="96"/>
  <c r="M31" i="96"/>
  <c r="J31" i="96"/>
  <c r="E31" i="96"/>
  <c r="D31" i="96"/>
  <c r="AR30" i="96"/>
  <c r="AS31" i="96" s="1"/>
  <c r="O28" i="96"/>
  <c r="M28" i="96"/>
  <c r="L28" i="96"/>
  <c r="J28" i="96"/>
  <c r="I28" i="96"/>
  <c r="H28" i="96"/>
  <c r="G28" i="96"/>
  <c r="F28" i="96"/>
  <c r="E28" i="96"/>
  <c r="O27" i="96"/>
  <c r="M27" i="96"/>
  <c r="L27" i="96"/>
  <c r="J27" i="96"/>
  <c r="I27" i="96"/>
  <c r="H27" i="96"/>
  <c r="G27" i="96"/>
  <c r="F27" i="96"/>
  <c r="E27" i="96"/>
  <c r="AF26" i="96"/>
  <c r="AE26" i="96"/>
  <c r="AC26" i="96"/>
  <c r="Y26" i="96"/>
  <c r="U26" i="96"/>
  <c r="T26" i="96"/>
  <c r="AB26" i="96" s="1"/>
  <c r="S26" i="96"/>
  <c r="AA26" i="96" s="1"/>
  <c r="L26" i="96"/>
  <c r="J26" i="96"/>
  <c r="I26" i="96"/>
  <c r="H26" i="96"/>
  <c r="G26" i="96"/>
  <c r="F26" i="96"/>
  <c r="E26" i="96"/>
  <c r="AR25" i="96"/>
  <c r="AS26" i="96" s="1"/>
  <c r="AF25" i="96"/>
  <c r="AE25" i="96"/>
  <c r="AC25" i="96"/>
  <c r="Y25" i="96"/>
  <c r="U25" i="96"/>
  <c r="T25" i="96"/>
  <c r="AB25" i="96" s="1"/>
  <c r="S25" i="96"/>
  <c r="AA25" i="96" s="1"/>
  <c r="L25" i="96"/>
  <c r="J25" i="96"/>
  <c r="I25" i="96"/>
  <c r="H25" i="96"/>
  <c r="G25" i="96"/>
  <c r="F25" i="96"/>
  <c r="E25" i="96"/>
  <c r="AF24" i="96"/>
  <c r="AE24" i="96"/>
  <c r="AC24" i="96"/>
  <c r="Y24" i="96"/>
  <c r="U24" i="96"/>
  <c r="J24" i="96" s="1"/>
  <c r="T24" i="96"/>
  <c r="AB24" i="96" s="1"/>
  <c r="S24" i="96"/>
  <c r="AA24" i="96" s="1"/>
  <c r="L24" i="96"/>
  <c r="I24" i="96"/>
  <c r="H24" i="96"/>
  <c r="G24" i="96"/>
  <c r="F24" i="96"/>
  <c r="E24" i="96"/>
  <c r="AR23" i="96"/>
  <c r="AS24" i="96" s="1"/>
  <c r="AF23" i="96"/>
  <c r="AE23" i="96"/>
  <c r="AC23" i="96"/>
  <c r="Y23" i="96"/>
  <c r="U23" i="96"/>
  <c r="T23" i="96"/>
  <c r="AB23" i="96" s="1"/>
  <c r="S23" i="96"/>
  <c r="AA23" i="96" s="1"/>
  <c r="L23" i="96"/>
  <c r="J23" i="96"/>
  <c r="I23" i="96"/>
  <c r="H23" i="96"/>
  <c r="G23" i="96"/>
  <c r="F23" i="96"/>
  <c r="E23" i="96"/>
  <c r="AK22" i="96"/>
  <c r="AM22" i="96" s="1"/>
  <c r="AF22" i="96"/>
  <c r="AE22" i="96"/>
  <c r="AC22" i="96"/>
  <c r="Y22" i="96"/>
  <c r="U22" i="96"/>
  <c r="T22" i="96"/>
  <c r="AB22" i="96" s="1"/>
  <c r="S22" i="96"/>
  <c r="AA22" i="96" s="1"/>
  <c r="L22" i="96"/>
  <c r="J22" i="96"/>
  <c r="I22" i="96"/>
  <c r="H22" i="96"/>
  <c r="G22" i="96"/>
  <c r="F22" i="96"/>
  <c r="E22" i="96"/>
  <c r="AF21" i="96"/>
  <c r="AE21" i="96"/>
  <c r="AC21" i="96"/>
  <c r="Y21" i="96"/>
  <c r="U21" i="96"/>
  <c r="T21" i="96"/>
  <c r="AB21" i="96" s="1"/>
  <c r="S21" i="96"/>
  <c r="AA21" i="96" s="1"/>
  <c r="L21" i="96"/>
  <c r="J21" i="96"/>
  <c r="I21" i="96"/>
  <c r="H21" i="96"/>
  <c r="G21" i="96"/>
  <c r="F21" i="96"/>
  <c r="E21" i="96"/>
  <c r="AR20" i="96"/>
  <c r="AS21" i="96" s="1"/>
  <c r="AF20" i="96"/>
  <c r="AE20" i="96"/>
  <c r="AC20" i="96"/>
  <c r="Y20" i="96"/>
  <c r="U20" i="96"/>
  <c r="J20" i="96" s="1"/>
  <c r="T20" i="96"/>
  <c r="AB20" i="96" s="1"/>
  <c r="S20" i="96"/>
  <c r="AA20" i="96" s="1"/>
  <c r="L20" i="96"/>
  <c r="I20" i="96"/>
  <c r="H20" i="96"/>
  <c r="G20" i="96"/>
  <c r="F20" i="96"/>
  <c r="E20" i="96"/>
  <c r="AF19" i="96"/>
  <c r="AE19" i="96"/>
  <c r="AC19" i="96"/>
  <c r="Y19" i="96"/>
  <c r="U19" i="96"/>
  <c r="T19" i="96"/>
  <c r="AB19" i="96" s="1"/>
  <c r="S19" i="96"/>
  <c r="AA19" i="96" s="1"/>
  <c r="L19" i="96"/>
  <c r="J19" i="96"/>
  <c r="I19" i="96"/>
  <c r="H19" i="96"/>
  <c r="G19" i="96"/>
  <c r="F19" i="96"/>
  <c r="E19" i="96"/>
  <c r="AK18" i="96"/>
  <c r="AF18" i="96"/>
  <c r="AE18" i="96"/>
  <c r="AC18" i="96"/>
  <c r="Y18" i="96"/>
  <c r="U18" i="96"/>
  <c r="J18" i="96" s="1"/>
  <c r="T18" i="96"/>
  <c r="AB18" i="96" s="1"/>
  <c r="S18" i="96"/>
  <c r="AA18" i="96" s="1"/>
  <c r="L18" i="96"/>
  <c r="I18" i="96"/>
  <c r="H18" i="96"/>
  <c r="G18" i="96"/>
  <c r="F18" i="96"/>
  <c r="E18" i="96"/>
  <c r="AK17" i="96"/>
  <c r="AF17" i="96"/>
  <c r="AE17" i="96"/>
  <c r="AC17" i="96"/>
  <c r="Y17" i="96"/>
  <c r="U17" i="96"/>
  <c r="T17" i="96"/>
  <c r="AB17" i="96" s="1"/>
  <c r="S17" i="96"/>
  <c r="AA17" i="96" s="1"/>
  <c r="L17" i="96"/>
  <c r="J17" i="96"/>
  <c r="I17" i="96"/>
  <c r="H17" i="96"/>
  <c r="G17" i="96"/>
  <c r="F17" i="96"/>
  <c r="E17" i="96"/>
  <c r="AK16" i="96"/>
  <c r="AF16" i="96"/>
  <c r="AE16" i="96"/>
  <c r="AC16" i="96"/>
  <c r="Y16" i="96"/>
  <c r="U16" i="96"/>
  <c r="T16" i="96"/>
  <c r="AB16" i="96" s="1"/>
  <c r="S16" i="96"/>
  <c r="AA16" i="96" s="1"/>
  <c r="L16" i="96"/>
  <c r="J16" i="96"/>
  <c r="I16" i="96"/>
  <c r="H16" i="96"/>
  <c r="G16" i="96"/>
  <c r="F16" i="96"/>
  <c r="E16" i="96"/>
  <c r="AK15" i="96"/>
  <c r="AF15" i="96"/>
  <c r="AE15" i="96"/>
  <c r="AC15" i="96"/>
  <c r="Y15" i="96"/>
  <c r="U15" i="96"/>
  <c r="T15" i="96"/>
  <c r="AB15" i="96" s="1"/>
  <c r="S15" i="96"/>
  <c r="AA15" i="96" s="1"/>
  <c r="L15" i="96"/>
  <c r="J15" i="96"/>
  <c r="I15" i="96"/>
  <c r="H15" i="96"/>
  <c r="G15" i="96"/>
  <c r="F15" i="96"/>
  <c r="E15" i="96"/>
  <c r="AK14" i="96"/>
  <c r="AI14" i="96"/>
  <c r="AF14" i="96"/>
  <c r="AE14" i="96"/>
  <c r="AC14" i="96"/>
  <c r="Y14" i="96"/>
  <c r="U14" i="96"/>
  <c r="J14" i="96" s="1"/>
  <c r="T14" i="96"/>
  <c r="AB14" i="96" s="1"/>
  <c r="S14" i="96"/>
  <c r="AA14" i="96" s="1"/>
  <c r="L14" i="96"/>
  <c r="I14" i="96"/>
  <c r="H14" i="96"/>
  <c r="G14" i="96"/>
  <c r="F14" i="96"/>
  <c r="E14" i="96"/>
  <c r="AK13" i="96"/>
  <c r="AI13" i="96"/>
  <c r="AF13" i="96"/>
  <c r="AE13" i="96"/>
  <c r="AC13" i="96"/>
  <c r="Y13" i="96"/>
  <c r="U13" i="96"/>
  <c r="J13" i="96" s="1"/>
  <c r="T13" i="96"/>
  <c r="AB13" i="96" s="1"/>
  <c r="S13" i="96"/>
  <c r="AA13" i="96" s="1"/>
  <c r="L13" i="96"/>
  <c r="I13" i="96"/>
  <c r="H13" i="96"/>
  <c r="G13" i="96"/>
  <c r="F13" i="96"/>
  <c r="E13" i="96"/>
  <c r="AK12" i="96"/>
  <c r="AI12" i="96"/>
  <c r="AK25" i="96" s="1"/>
  <c r="AF12" i="96"/>
  <c r="AE12" i="96"/>
  <c r="AC12" i="96"/>
  <c r="Y12" i="96"/>
  <c r="U12" i="96"/>
  <c r="J12" i="96" s="1"/>
  <c r="T12" i="96"/>
  <c r="AB12" i="96" s="1"/>
  <c r="S12" i="96"/>
  <c r="AA12" i="96" s="1"/>
  <c r="L12" i="96"/>
  <c r="I12" i="96"/>
  <c r="H12" i="96"/>
  <c r="G12" i="96"/>
  <c r="F12" i="96"/>
  <c r="E12" i="96"/>
  <c r="AI11" i="96"/>
  <c r="AR39" i="96" s="1"/>
  <c r="AS40" i="96" s="1"/>
  <c r="AF11" i="96"/>
  <c r="AE11" i="96"/>
  <c r="AC11" i="96"/>
  <c r="AB11" i="96"/>
  <c r="Y11" i="96"/>
  <c r="U11" i="96"/>
  <c r="J11" i="96" s="1"/>
  <c r="T11" i="96"/>
  <c r="S11" i="96"/>
  <c r="AA11" i="96" s="1"/>
  <c r="L11" i="96"/>
  <c r="I11" i="96"/>
  <c r="H11" i="96"/>
  <c r="G11" i="96"/>
  <c r="F11" i="96"/>
  <c r="E11" i="96"/>
  <c r="AI10" i="96"/>
  <c r="M9" i="96"/>
  <c r="K8" i="96"/>
  <c r="K7" i="96"/>
  <c r="D4" i="96"/>
  <c r="D3" i="96"/>
  <c r="V31" i="96" s="1"/>
  <c r="M31" i="8"/>
  <c r="O27" i="8"/>
  <c r="W25" i="98"/>
  <c r="W14" i="98"/>
  <c r="X23" i="98"/>
  <c r="X19" i="98"/>
  <c r="W17" i="98"/>
  <c r="W16" i="98"/>
  <c r="X24" i="98"/>
  <c r="X14" i="98"/>
  <c r="W25" i="97"/>
  <c r="W14" i="97"/>
  <c r="X25" i="97"/>
  <c r="W18" i="97"/>
  <c r="X13" i="97"/>
  <c r="X14" i="97"/>
  <c r="X21" i="97"/>
  <c r="W15" i="97"/>
  <c r="W25" i="96"/>
  <c r="W18" i="96"/>
  <c r="X23" i="96"/>
  <c r="X26" i="96"/>
  <c r="W26" i="96"/>
  <c r="X13" i="96"/>
  <c r="W20" i="96"/>
  <c r="W24" i="96"/>
  <c r="W17" i="96"/>
  <c r="W19" i="98"/>
  <c r="W18" i="98"/>
  <c r="W15" i="98"/>
  <c r="X26" i="97"/>
  <c r="X24" i="97"/>
  <c r="W19" i="96"/>
  <c r="W16" i="96"/>
  <c r="X15" i="96"/>
  <c r="W23" i="98"/>
  <c r="W13" i="98"/>
  <c r="X17" i="98"/>
  <c r="X18" i="98"/>
  <c r="X12" i="98"/>
  <c r="X16" i="98"/>
  <c r="X22" i="98"/>
  <c r="W11" i="98"/>
  <c r="W23" i="97"/>
  <c r="W13" i="97"/>
  <c r="W22" i="97"/>
  <c r="X18" i="97"/>
  <c r="W26" i="97"/>
  <c r="W11" i="97"/>
  <c r="X19" i="97"/>
  <c r="X15" i="97"/>
  <c r="W23" i="96"/>
  <c r="W14" i="96"/>
  <c r="X25" i="96"/>
  <c r="X12" i="96"/>
  <c r="X21" i="96"/>
  <c r="X24" i="96"/>
  <c r="X14" i="96"/>
  <c r="W22" i="98"/>
  <c r="X21" i="98"/>
  <c r="W20" i="98"/>
  <c r="X11" i="97"/>
  <c r="W20" i="97"/>
  <c r="X12" i="97"/>
  <c r="X19" i="96"/>
  <c r="W21" i="96"/>
  <c r="X20" i="98"/>
  <c r="W12" i="98"/>
  <c r="X25" i="98"/>
  <c r="X26" i="98"/>
  <c r="W26" i="98"/>
  <c r="X13" i="98"/>
  <c r="W21" i="98"/>
  <c r="W24" i="98"/>
  <c r="X20" i="97"/>
  <c r="W12" i="97"/>
  <c r="X23" i="97"/>
  <c r="W16" i="97"/>
  <c r="X22" i="97"/>
  <c r="W24" i="97"/>
  <c r="W17" i="97"/>
  <c r="W21" i="97"/>
  <c r="X20" i="96"/>
  <c r="W13" i="96"/>
  <c r="W22" i="96"/>
  <c r="X16" i="96"/>
  <c r="X18" i="96"/>
  <c r="X22" i="96"/>
  <c r="W11" i="96"/>
  <c r="X17" i="96"/>
  <c r="X11" i="98"/>
  <c r="X15" i="98"/>
  <c r="W19" i="97"/>
  <c r="X16" i="97"/>
  <c r="X17" i="97"/>
  <c r="W12" i="96"/>
  <c r="X11" i="96"/>
  <c r="W15" i="96"/>
  <c r="AK15" i="97" l="1"/>
  <c r="AK18" i="97"/>
  <c r="AM18" i="97" s="1"/>
  <c r="AK17" i="97"/>
  <c r="AR20" i="97"/>
  <c r="AS21" i="97" s="1"/>
  <c r="AR23" i="97"/>
  <c r="AS24" i="97" s="1"/>
  <c r="AR31" i="97"/>
  <c r="AS32" i="97" s="1"/>
  <c r="AK12" i="97"/>
  <c r="AK13" i="97"/>
  <c r="AM13" i="97" s="1"/>
  <c r="AK14" i="97"/>
  <c r="AK22" i="97"/>
  <c r="AM22" i="97" s="1"/>
  <c r="AR25" i="97"/>
  <c r="AS26" i="97" s="1"/>
  <c r="J31" i="97"/>
  <c r="AR35" i="97"/>
  <c r="AS36" i="97" s="1"/>
  <c r="AK16" i="97"/>
  <c r="AM16" i="97" s="1"/>
  <c r="AR30" i="97"/>
  <c r="AS31" i="97" s="1"/>
  <c r="AR32" i="97"/>
  <c r="AS33" i="97" s="1"/>
  <c r="AR37" i="97"/>
  <c r="AS38" i="97" s="1"/>
  <c r="AM16" i="98"/>
  <c r="AL16" i="98"/>
  <c r="AL25" i="98"/>
  <c r="AM25" i="98"/>
  <c r="AM13" i="98"/>
  <c r="AL13" i="98"/>
  <c r="V34" i="98"/>
  <c r="J7" i="98" s="1"/>
  <c r="V33" i="98"/>
  <c r="AM12" i="98"/>
  <c r="AL12" i="98"/>
  <c r="AM15" i="98"/>
  <c r="AL15" i="98"/>
  <c r="AM14" i="98"/>
  <c r="AL14" i="98"/>
  <c r="AC32" i="98"/>
  <c r="M2" i="98" s="1"/>
  <c r="AL17" i="98"/>
  <c r="AL18" i="98"/>
  <c r="AR19" i="98"/>
  <c r="AS20" i="98" s="1"/>
  <c r="AK21" i="98"/>
  <c r="AL22" i="98"/>
  <c r="AK24" i="98"/>
  <c r="AK26" i="98"/>
  <c r="AR29" i="98"/>
  <c r="AS30" i="98" s="1"/>
  <c r="Y33" i="98"/>
  <c r="Y34" i="98"/>
  <c r="J5" i="98" s="1"/>
  <c r="AR36" i="98"/>
  <c r="AS37" i="98" s="1"/>
  <c r="AR41" i="98"/>
  <c r="AR11" i="98"/>
  <c r="AR12" i="98"/>
  <c r="AS13" i="98" s="1"/>
  <c r="AR13" i="98"/>
  <c r="AS14" i="98" s="1"/>
  <c r="AR14" i="98"/>
  <c r="AS15" i="98" s="1"/>
  <c r="AR15" i="98"/>
  <c r="AS16" i="98" s="1"/>
  <c r="AR16" i="98"/>
  <c r="AS17" i="98" s="1"/>
  <c r="AR17" i="98"/>
  <c r="AS18" i="98" s="1"/>
  <c r="AR18" i="98"/>
  <c r="AS19" i="98" s="1"/>
  <c r="AK20" i="98"/>
  <c r="AR22" i="98"/>
  <c r="AS23" i="98" s="1"/>
  <c r="AR24" i="98"/>
  <c r="AS25" i="98" s="1"/>
  <c r="AR26" i="98"/>
  <c r="AS27" i="98" s="1"/>
  <c r="AK27" i="98"/>
  <c r="J34" i="98"/>
  <c r="Z34" i="98"/>
  <c r="V35" i="98"/>
  <c r="J8" i="98" s="1"/>
  <c r="AR40" i="98"/>
  <c r="AS41" i="98" s="1"/>
  <c r="AI15" i="98"/>
  <c r="C40" i="98" s="1"/>
  <c r="AI16" i="98"/>
  <c r="D42" i="98" s="1"/>
  <c r="E42" i="98" s="1"/>
  <c r="AI17" i="98"/>
  <c r="D38" i="98" s="1"/>
  <c r="E38" i="98" s="1"/>
  <c r="E43" i="98" s="1"/>
  <c r="AI18" i="98"/>
  <c r="AK19" i="98"/>
  <c r="AR21" i="98"/>
  <c r="AS22" i="98" s="1"/>
  <c r="AK23" i="98"/>
  <c r="AR27" i="98"/>
  <c r="AS28" i="98" s="1"/>
  <c r="AR28" i="98"/>
  <c r="AS29" i="98" s="1"/>
  <c r="AR33" i="98"/>
  <c r="AS34" i="98" s="1"/>
  <c r="AR34" i="98"/>
  <c r="AS35" i="98" s="1"/>
  <c r="AM14" i="97"/>
  <c r="AL14" i="97"/>
  <c r="AL18" i="97"/>
  <c r="AL25" i="97"/>
  <c r="AM25" i="97"/>
  <c r="AL13" i="97"/>
  <c r="V34" i="97"/>
  <c r="J7" i="97" s="1"/>
  <c r="V33" i="97"/>
  <c r="AM12" i="97"/>
  <c r="AL12" i="97"/>
  <c r="AM15" i="97"/>
  <c r="AL15" i="97"/>
  <c r="AM17" i="97"/>
  <c r="AL17" i="97"/>
  <c r="AC32" i="97"/>
  <c r="M2" i="97" s="1"/>
  <c r="AR19" i="97"/>
  <c r="AS20" i="97" s="1"/>
  <c r="AK21" i="97"/>
  <c r="AL22" i="97"/>
  <c r="AK24" i="97"/>
  <c r="AK26" i="97"/>
  <c r="AR29" i="97"/>
  <c r="AS30" i="97" s="1"/>
  <c r="Y33" i="97"/>
  <c r="Y34" i="97"/>
  <c r="J5" i="97" s="1"/>
  <c r="AR36" i="97"/>
  <c r="AS37" i="97" s="1"/>
  <c r="AR41" i="97"/>
  <c r="AR11" i="97"/>
  <c r="AR12" i="97"/>
  <c r="AS13" i="97" s="1"/>
  <c r="AR13" i="97"/>
  <c r="AS14" i="97" s="1"/>
  <c r="AR14" i="97"/>
  <c r="AS15" i="97" s="1"/>
  <c r="AR15" i="97"/>
  <c r="AS16" i="97" s="1"/>
  <c r="AR16" i="97"/>
  <c r="AS17" i="97" s="1"/>
  <c r="AR17" i="97"/>
  <c r="AS18" i="97" s="1"/>
  <c r="AR18" i="97"/>
  <c r="AS19" i="97" s="1"/>
  <c r="AK20" i="97"/>
  <c r="AR22" i="97"/>
  <c r="AS23" i="97" s="1"/>
  <c r="AR24" i="97"/>
  <c r="AS25" i="97" s="1"/>
  <c r="AR26" i="97"/>
  <c r="AS27" i="97" s="1"/>
  <c r="AK27" i="97"/>
  <c r="J34" i="97"/>
  <c r="Z34" i="97"/>
  <c r="V35" i="97"/>
  <c r="J8" i="97" s="1"/>
  <c r="AR40" i="97"/>
  <c r="AS41" i="97" s="1"/>
  <c r="AI15" i="97"/>
  <c r="C40" i="97" s="1"/>
  <c r="AI16" i="97"/>
  <c r="D42" i="97" s="1"/>
  <c r="E42" i="97" s="1"/>
  <c r="AI17" i="97"/>
  <c r="D38" i="97" s="1"/>
  <c r="E38" i="97" s="1"/>
  <c r="AI18" i="97"/>
  <c r="AK19" i="97"/>
  <c r="AR21" i="97"/>
  <c r="AS22" i="97" s="1"/>
  <c r="AK23" i="97"/>
  <c r="AR27" i="97"/>
  <c r="AS28" i="97" s="1"/>
  <c r="AR28" i="97"/>
  <c r="AS29" i="97" s="1"/>
  <c r="AR33" i="97"/>
  <c r="AS34" i="97" s="1"/>
  <c r="AR34" i="97"/>
  <c r="AS35" i="97" s="1"/>
  <c r="AM16" i="96"/>
  <c r="AL16" i="96"/>
  <c r="AM18" i="96"/>
  <c r="AL18" i="96"/>
  <c r="AM14" i="96"/>
  <c r="AL14" i="96"/>
  <c r="AM25" i="96"/>
  <c r="AL25" i="96"/>
  <c r="AM13" i="96"/>
  <c r="AL13" i="96"/>
  <c r="V34" i="96"/>
  <c r="J7" i="96" s="1"/>
  <c r="V33" i="96"/>
  <c r="AM15" i="96"/>
  <c r="AL15" i="96"/>
  <c r="AM17" i="96"/>
  <c r="AL17" i="96"/>
  <c r="AM12" i="96"/>
  <c r="AL12" i="96"/>
  <c r="AC32" i="96"/>
  <c r="M2" i="96" s="1"/>
  <c r="AR19" i="96"/>
  <c r="AS20" i="96" s="1"/>
  <c r="AK21" i="96"/>
  <c r="AL22" i="96"/>
  <c r="AK24" i="96"/>
  <c r="AK26" i="96"/>
  <c r="AR29" i="96"/>
  <c r="AS30" i="96" s="1"/>
  <c r="Y33" i="96"/>
  <c r="Y34" i="96"/>
  <c r="J5" i="96" s="1"/>
  <c r="AR36" i="96"/>
  <c r="AS37" i="96" s="1"/>
  <c r="AR41" i="96"/>
  <c r="AR11" i="96"/>
  <c r="AR12" i="96"/>
  <c r="AS13" i="96" s="1"/>
  <c r="AR13" i="96"/>
  <c r="AS14" i="96" s="1"/>
  <c r="AR14" i="96"/>
  <c r="AS15" i="96" s="1"/>
  <c r="AR15" i="96"/>
  <c r="AS16" i="96" s="1"/>
  <c r="AR16" i="96"/>
  <c r="AS17" i="96" s="1"/>
  <c r="AR17" i="96"/>
  <c r="AS18" i="96" s="1"/>
  <c r="AR18" i="96"/>
  <c r="AS19" i="96" s="1"/>
  <c r="AK20" i="96"/>
  <c r="AR22" i="96"/>
  <c r="AS23" i="96" s="1"/>
  <c r="AR24" i="96"/>
  <c r="AS25" i="96" s="1"/>
  <c r="AR26" i="96"/>
  <c r="AS27" i="96" s="1"/>
  <c r="AK27" i="96"/>
  <c r="J34" i="96"/>
  <c r="Z34" i="96"/>
  <c r="V35" i="96"/>
  <c r="J8" i="96" s="1"/>
  <c r="AR40" i="96"/>
  <c r="AS41" i="96" s="1"/>
  <c r="AI15" i="96"/>
  <c r="C40" i="96" s="1"/>
  <c r="AI16" i="96"/>
  <c r="D42" i="96" s="1"/>
  <c r="E42" i="96" s="1"/>
  <c r="AI17" i="96"/>
  <c r="D38" i="96" s="1"/>
  <c r="E38" i="96" s="1"/>
  <c r="E43" i="96" s="1"/>
  <c r="AI18" i="96"/>
  <c r="AK19" i="96"/>
  <c r="AR21" i="96"/>
  <c r="AS22" i="96" s="1"/>
  <c r="AK23" i="96"/>
  <c r="AR27" i="96"/>
  <c r="AS28" i="96" s="1"/>
  <c r="AR28" i="96"/>
  <c r="AS29" i="96" s="1"/>
  <c r="AR33" i="96"/>
  <c r="AS34" i="96" s="1"/>
  <c r="AR34" i="96"/>
  <c r="AS35" i="96" s="1"/>
  <c r="B4" i="85"/>
  <c r="E43" i="97" l="1"/>
  <c r="Z33" i="97" s="1"/>
  <c r="M4" i="97" s="1"/>
  <c r="AL16" i="97"/>
  <c r="K4" i="98"/>
  <c r="Z33" i="98"/>
  <c r="M4" i="98" s="1"/>
  <c r="AL23" i="98"/>
  <c r="AM23" i="98"/>
  <c r="AM21" i="98"/>
  <c r="AL21" i="98"/>
  <c r="J6" i="98"/>
  <c r="M8" i="98"/>
  <c r="M5" i="98"/>
  <c r="K5" i="98"/>
  <c r="AM26" i="98"/>
  <c r="AL26" i="98"/>
  <c r="AN14" i="98"/>
  <c r="AO14" i="98"/>
  <c r="AP14" i="98" s="1"/>
  <c r="AN12" i="98"/>
  <c r="AO12" i="98"/>
  <c r="AO25" i="98"/>
  <c r="AN25" i="98"/>
  <c r="AM19" i="98"/>
  <c r="AL19" i="98"/>
  <c r="AM24" i="98"/>
  <c r="AL24" i="98"/>
  <c r="AN18" i="98"/>
  <c r="AO18" i="98"/>
  <c r="AP18" i="98" s="1"/>
  <c r="AN13" i="98"/>
  <c r="AO13" i="98"/>
  <c r="AP13" i="98" s="1"/>
  <c r="AN16" i="98"/>
  <c r="AO16" i="98"/>
  <c r="AP16" i="98" s="1"/>
  <c r="AL27" i="98"/>
  <c r="AM27" i="98"/>
  <c r="AL20" i="98"/>
  <c r="AM20" i="98"/>
  <c r="AS12" i="98"/>
  <c r="AS11" i="98" s="1"/>
  <c r="M7" i="98" s="1"/>
  <c r="V28" i="98"/>
  <c r="V27" i="98"/>
  <c r="E30" i="98"/>
  <c r="J4" i="98"/>
  <c r="AN22" i="98"/>
  <c r="AO22" i="98"/>
  <c r="AP22" i="98" s="1"/>
  <c r="AN17" i="98"/>
  <c r="AO17" i="98"/>
  <c r="AP17" i="98" s="1"/>
  <c r="AN15" i="98"/>
  <c r="AO15" i="98"/>
  <c r="AP15" i="98" s="1"/>
  <c r="K4" i="97"/>
  <c r="AM24" i="97"/>
  <c r="AL24" i="97"/>
  <c r="J6" i="97"/>
  <c r="M8" i="97"/>
  <c r="AN16" i="97"/>
  <c r="AO16" i="97"/>
  <c r="AP16" i="97" s="1"/>
  <c r="AL27" i="97"/>
  <c r="AM27" i="97"/>
  <c r="AL20" i="97"/>
  <c r="AM20" i="97"/>
  <c r="AS12" i="97"/>
  <c r="AS11" i="97" s="1"/>
  <c r="M7" i="97" s="1"/>
  <c r="V28" i="97"/>
  <c r="V27" i="97"/>
  <c r="E30" i="97"/>
  <c r="J4" i="97"/>
  <c r="AN22" i="97"/>
  <c r="AO22" i="97"/>
  <c r="AP22" i="97" s="1"/>
  <c r="AN17" i="97"/>
  <c r="AO17" i="97"/>
  <c r="AP17" i="97" s="1"/>
  <c r="AN12" i="97"/>
  <c r="AO12" i="97"/>
  <c r="AO25" i="97"/>
  <c r="AN25" i="97"/>
  <c r="AM19" i="97"/>
  <c r="AL19" i="97"/>
  <c r="AM23" i="97"/>
  <c r="AL23" i="97"/>
  <c r="AM21" i="97"/>
  <c r="AL21" i="97"/>
  <c r="AN13" i="97"/>
  <c r="AO13" i="97"/>
  <c r="AP13" i="97" s="1"/>
  <c r="AN18" i="97"/>
  <c r="AO18" i="97"/>
  <c r="AP18" i="97" s="1"/>
  <c r="AN14" i="97"/>
  <c r="AO14" i="97"/>
  <c r="AP14" i="97" s="1"/>
  <c r="M5" i="97"/>
  <c r="K5" i="97"/>
  <c r="AM26" i="97"/>
  <c r="AL26" i="97"/>
  <c r="AN15" i="97"/>
  <c r="AO15" i="97"/>
  <c r="AP15" i="97" s="1"/>
  <c r="K4" i="96"/>
  <c r="Z33" i="96"/>
  <c r="M4" i="96" s="1"/>
  <c r="AM19" i="96"/>
  <c r="AL19" i="96"/>
  <c r="AM24" i="96"/>
  <c r="AL24" i="96"/>
  <c r="AN17" i="96"/>
  <c r="AO17" i="96"/>
  <c r="AP17" i="96" s="1"/>
  <c r="J6" i="96"/>
  <c r="M8" i="96"/>
  <c r="AO25" i="96"/>
  <c r="AN25" i="96"/>
  <c r="AN18" i="96"/>
  <c r="AO18" i="96"/>
  <c r="AP18" i="96" s="1"/>
  <c r="AL27" i="96"/>
  <c r="AM27" i="96"/>
  <c r="AL20" i="96"/>
  <c r="AM20" i="96"/>
  <c r="AS12" i="96"/>
  <c r="AS11" i="96" s="1"/>
  <c r="M7" i="96" s="1"/>
  <c r="V28" i="96"/>
  <c r="V27" i="96"/>
  <c r="E30" i="96"/>
  <c r="J4" i="96"/>
  <c r="AN22" i="96"/>
  <c r="AO22" i="96"/>
  <c r="AP22" i="96" s="1"/>
  <c r="AN12" i="96"/>
  <c r="AO12" i="96"/>
  <c r="AM23" i="96"/>
  <c r="AL23" i="96"/>
  <c r="AM21" i="96"/>
  <c r="AL21" i="96"/>
  <c r="AN15" i="96"/>
  <c r="AO15" i="96"/>
  <c r="AP15" i="96" s="1"/>
  <c r="AN13" i="96"/>
  <c r="AO13" i="96"/>
  <c r="AP13" i="96" s="1"/>
  <c r="AN14" i="96"/>
  <c r="AO14" i="96"/>
  <c r="AP14" i="96" s="1"/>
  <c r="AN16" i="96"/>
  <c r="AO16" i="96"/>
  <c r="AP16" i="96" s="1"/>
  <c r="M5" i="96"/>
  <c r="K5" i="96"/>
  <c r="AM26" i="96"/>
  <c r="AL26" i="96"/>
  <c r="W33" i="8"/>
  <c r="W34" i="8"/>
  <c r="D3" i="8"/>
  <c r="V31" i="8" s="1"/>
  <c r="A4" i="6" a="1"/>
  <c r="A4" i="6" s="1"/>
  <c r="A5" i="6" a="1"/>
  <c r="A5" i="6" s="1"/>
  <c r="A6" i="6" a="1"/>
  <c r="A6" i="6" s="1"/>
  <c r="A7" i="6" a="1"/>
  <c r="A7" i="6" s="1"/>
  <c r="A8" i="6" a="1"/>
  <c r="A8" i="6" s="1"/>
  <c r="A9" i="6" a="1"/>
  <c r="A9" i="6" s="1"/>
  <c r="A10" i="6" a="1"/>
  <c r="A10" i="6" s="1"/>
  <c r="A11" i="6" a="1"/>
  <c r="A11" i="6" s="1"/>
  <c r="A12" i="6" a="1"/>
  <c r="A12" i="6" s="1"/>
  <c r="A13" i="6" a="1"/>
  <c r="A13" i="6" s="1"/>
  <c r="A14" i="6" a="1"/>
  <c r="A14" i="6" s="1"/>
  <c r="A15" i="6" a="1"/>
  <c r="A15" i="6" s="1"/>
  <c r="A16" i="6" a="1"/>
  <c r="A16" i="6" s="1"/>
  <c r="A17" i="6" a="1"/>
  <c r="A17" i="6" s="1"/>
  <c r="A18" i="6" a="1"/>
  <c r="A18" i="6" s="1"/>
  <c r="A19" i="6" a="1"/>
  <c r="A19" i="6" s="1"/>
  <c r="A20" i="6" a="1"/>
  <c r="A20" i="6" s="1"/>
  <c r="A21" i="6" a="1"/>
  <c r="A21" i="6" s="1"/>
  <c r="A22" i="6" a="1"/>
  <c r="A22" i="6" s="1"/>
  <c r="B3" i="6" a="1"/>
  <c r="B3" i="6" s="1"/>
  <c r="C3" i="6" a="1"/>
  <c r="C3" i="6" s="1"/>
  <c r="D3" i="6" a="1"/>
  <c r="D3" i="6" s="1"/>
  <c r="E3" i="6" a="1"/>
  <c r="E3" i="6" s="1"/>
  <c r="F3" i="6" a="1"/>
  <c r="F3" i="6" s="1"/>
  <c r="G3" i="6" a="1"/>
  <c r="G3" i="6" s="1"/>
  <c r="H3" i="6" a="1"/>
  <c r="H3" i="6" s="1"/>
  <c r="I3" i="6" a="1"/>
  <c r="I3" i="6" s="1"/>
  <c r="J3" i="6" a="1"/>
  <c r="J3" i="6" s="1"/>
  <c r="K3" i="6" a="1"/>
  <c r="K3" i="6" s="1"/>
  <c r="L3" i="6" a="1"/>
  <c r="L3" i="6" s="1"/>
  <c r="M3" i="6" a="1"/>
  <c r="M3" i="6" s="1"/>
  <c r="N3" i="6" a="1"/>
  <c r="N3" i="6" s="1"/>
  <c r="O3" i="6" a="1"/>
  <c r="O3" i="6" s="1"/>
  <c r="P3" i="6" a="1"/>
  <c r="P3" i="6" s="1"/>
  <c r="Q3" i="6" a="1"/>
  <c r="Q3" i="6" s="1"/>
  <c r="R3" i="6" a="1"/>
  <c r="R3" i="6" s="1"/>
  <c r="S3" i="6" a="1"/>
  <c r="S3" i="6" s="1"/>
  <c r="B4" i="6" a="1"/>
  <c r="B4" i="6" s="1"/>
  <c r="C4" i="6" a="1"/>
  <c r="C4" i="6" s="1"/>
  <c r="D4" i="6" a="1"/>
  <c r="D4" i="6" s="1"/>
  <c r="E4" i="6" a="1"/>
  <c r="E4" i="6" s="1"/>
  <c r="F4" i="6" a="1"/>
  <c r="F4" i="6" s="1"/>
  <c r="G4" i="6" a="1"/>
  <c r="G4" i="6" s="1"/>
  <c r="H4" i="6" a="1"/>
  <c r="H4" i="6" s="1"/>
  <c r="I4" i="6" a="1"/>
  <c r="I4" i="6" s="1"/>
  <c r="J4" i="6" a="1"/>
  <c r="J4" i="6" s="1"/>
  <c r="K4" i="6" a="1"/>
  <c r="K4" i="6" s="1"/>
  <c r="L4" i="6" a="1"/>
  <c r="L4" i="6" s="1"/>
  <c r="M4" i="6" a="1"/>
  <c r="M4" i="6" s="1"/>
  <c r="N4" i="6" a="1"/>
  <c r="N4" i="6" s="1"/>
  <c r="O4" i="6" a="1"/>
  <c r="O4" i="6" s="1"/>
  <c r="P4" i="6" a="1"/>
  <c r="P4" i="6" s="1"/>
  <c r="Q4" i="6" a="1"/>
  <c r="Q4" i="6" s="1"/>
  <c r="R4" i="6" a="1"/>
  <c r="R4" i="6" s="1"/>
  <c r="S4" i="6" a="1"/>
  <c r="S4" i="6" s="1"/>
  <c r="B5" i="6" a="1"/>
  <c r="B5" i="6" s="1"/>
  <c r="C5" i="6" a="1"/>
  <c r="C5" i="6" s="1"/>
  <c r="D5" i="6" a="1"/>
  <c r="D5" i="6" s="1"/>
  <c r="E5" i="6" a="1"/>
  <c r="E5" i="6" s="1"/>
  <c r="F5" i="6" a="1"/>
  <c r="F5" i="6" s="1"/>
  <c r="G5" i="6" a="1"/>
  <c r="G5" i="6" s="1"/>
  <c r="H5" i="6" a="1"/>
  <c r="H5" i="6" s="1"/>
  <c r="I5" i="6" a="1"/>
  <c r="I5" i="6" s="1"/>
  <c r="J5" i="6" a="1"/>
  <c r="J5" i="6" s="1"/>
  <c r="K5" i="6" a="1"/>
  <c r="K5" i="6" s="1"/>
  <c r="L5" i="6" a="1"/>
  <c r="L5" i="6" s="1"/>
  <c r="M5" i="6" a="1"/>
  <c r="M5" i="6" s="1"/>
  <c r="N5" i="6" a="1"/>
  <c r="N5" i="6" s="1"/>
  <c r="O5" i="6" a="1"/>
  <c r="O5" i="6" s="1"/>
  <c r="P5" i="6" a="1"/>
  <c r="P5" i="6" s="1"/>
  <c r="Q5" i="6" a="1"/>
  <c r="Q5" i="6" s="1"/>
  <c r="R5" i="6" a="1"/>
  <c r="R5" i="6" s="1"/>
  <c r="S5" i="6" a="1"/>
  <c r="S5" i="6" s="1"/>
  <c r="B6" i="6" a="1"/>
  <c r="B6" i="6" s="1"/>
  <c r="C6" i="6" a="1"/>
  <c r="C6" i="6" s="1"/>
  <c r="D6" i="6" a="1"/>
  <c r="D6" i="6" s="1"/>
  <c r="E6" i="6" a="1"/>
  <c r="E6" i="6" s="1"/>
  <c r="F6" i="6" a="1"/>
  <c r="F6" i="6" s="1"/>
  <c r="G6" i="6" a="1"/>
  <c r="G6" i="6" s="1"/>
  <c r="H6" i="6" a="1"/>
  <c r="H6" i="6" s="1"/>
  <c r="I6" i="6" a="1"/>
  <c r="I6" i="6" s="1"/>
  <c r="J6" i="6" a="1"/>
  <c r="J6" i="6" s="1"/>
  <c r="K6" i="6" a="1"/>
  <c r="K6" i="6" s="1"/>
  <c r="L6" i="6" a="1"/>
  <c r="L6" i="6" s="1"/>
  <c r="M6" i="6" a="1"/>
  <c r="M6" i="6" s="1"/>
  <c r="N6" i="6" a="1"/>
  <c r="N6" i="6" s="1"/>
  <c r="O6" i="6" a="1"/>
  <c r="O6" i="6" s="1"/>
  <c r="P6" i="6" a="1"/>
  <c r="P6" i="6" s="1"/>
  <c r="Q6" i="6" a="1"/>
  <c r="Q6" i="6" s="1"/>
  <c r="R6" i="6" a="1"/>
  <c r="R6" i="6" s="1"/>
  <c r="S6" i="6" a="1"/>
  <c r="S6" i="6" s="1"/>
  <c r="B7" i="6" a="1"/>
  <c r="B7" i="6" s="1"/>
  <c r="C7" i="6" a="1"/>
  <c r="C7" i="6" s="1"/>
  <c r="D7" i="6" a="1"/>
  <c r="D7" i="6" s="1"/>
  <c r="E7" i="6" a="1"/>
  <c r="E7" i="6" s="1"/>
  <c r="F7" i="6" a="1"/>
  <c r="F7" i="6" s="1"/>
  <c r="G7" i="6" a="1"/>
  <c r="G7" i="6" s="1"/>
  <c r="H7" i="6" a="1"/>
  <c r="H7" i="6" s="1"/>
  <c r="I7" i="6" a="1"/>
  <c r="I7" i="6" s="1"/>
  <c r="J7" i="6" a="1"/>
  <c r="J7" i="6" s="1"/>
  <c r="K7" i="6" a="1"/>
  <c r="K7" i="6" s="1"/>
  <c r="L7" i="6" a="1"/>
  <c r="L7" i="6" s="1"/>
  <c r="M7" i="6" a="1"/>
  <c r="M7" i="6" s="1"/>
  <c r="N7" i="6" a="1"/>
  <c r="N7" i="6" s="1"/>
  <c r="O7" i="6" a="1"/>
  <c r="O7" i="6" s="1"/>
  <c r="P7" i="6" a="1"/>
  <c r="P7" i="6" s="1"/>
  <c r="Q7" i="6" a="1"/>
  <c r="Q7" i="6" s="1"/>
  <c r="R7" i="6" a="1"/>
  <c r="R7" i="6" s="1"/>
  <c r="S7" i="6" a="1"/>
  <c r="S7" i="6" s="1"/>
  <c r="B8" i="6" a="1"/>
  <c r="B8" i="6" s="1"/>
  <c r="C8" i="6" a="1"/>
  <c r="C8" i="6" s="1"/>
  <c r="D8" i="6" a="1"/>
  <c r="D8" i="6" s="1"/>
  <c r="E8" i="6" a="1"/>
  <c r="E8" i="6" s="1"/>
  <c r="F8" i="6" a="1"/>
  <c r="F8" i="6" s="1"/>
  <c r="G8" i="6" a="1"/>
  <c r="G8" i="6" s="1"/>
  <c r="H8" i="6" a="1"/>
  <c r="H8" i="6" s="1"/>
  <c r="I8" i="6" a="1"/>
  <c r="I8" i="6" s="1"/>
  <c r="J8" i="6" a="1"/>
  <c r="J8" i="6" s="1"/>
  <c r="K8" i="6" a="1"/>
  <c r="K8" i="6" s="1"/>
  <c r="L8" i="6" a="1"/>
  <c r="L8" i="6" s="1"/>
  <c r="M8" i="6" a="1"/>
  <c r="M8" i="6" s="1"/>
  <c r="N8" i="6" a="1"/>
  <c r="N8" i="6" s="1"/>
  <c r="O8" i="6" a="1"/>
  <c r="O8" i="6" s="1"/>
  <c r="P8" i="6" a="1"/>
  <c r="P8" i="6" s="1"/>
  <c r="Q8" i="6" a="1"/>
  <c r="Q8" i="6" s="1"/>
  <c r="R8" i="6" a="1"/>
  <c r="R8" i="6" s="1"/>
  <c r="S8" i="6" a="1"/>
  <c r="S8" i="6" s="1"/>
  <c r="B9" i="6" a="1"/>
  <c r="B9" i="6" s="1"/>
  <c r="C9" i="6" a="1"/>
  <c r="C9" i="6" s="1"/>
  <c r="D9" i="6" a="1"/>
  <c r="D9" i="6" s="1"/>
  <c r="E9" i="6" a="1"/>
  <c r="E9" i="6" s="1"/>
  <c r="F9" i="6" a="1"/>
  <c r="F9" i="6" s="1"/>
  <c r="G9" i="6" a="1"/>
  <c r="G9" i="6" s="1"/>
  <c r="H9" i="6" a="1"/>
  <c r="H9" i="6" s="1"/>
  <c r="I9" i="6" a="1"/>
  <c r="I9" i="6" s="1"/>
  <c r="J9" i="6" a="1"/>
  <c r="J9" i="6" s="1"/>
  <c r="K9" i="6" a="1"/>
  <c r="K9" i="6" s="1"/>
  <c r="L9" i="6" a="1"/>
  <c r="L9" i="6" s="1"/>
  <c r="M9" i="6" a="1"/>
  <c r="M9" i="6" s="1"/>
  <c r="N9" i="6" a="1"/>
  <c r="N9" i="6" s="1"/>
  <c r="O9" i="6" a="1"/>
  <c r="O9" i="6" s="1"/>
  <c r="P9" i="6" a="1"/>
  <c r="P9" i="6" s="1"/>
  <c r="Q9" i="6" a="1"/>
  <c r="Q9" i="6" s="1"/>
  <c r="R9" i="6" a="1"/>
  <c r="R9" i="6" s="1"/>
  <c r="S9" i="6" a="1"/>
  <c r="S9" i="6" s="1"/>
  <c r="B10" i="6" a="1"/>
  <c r="B10" i="6" s="1"/>
  <c r="C10" i="6" a="1"/>
  <c r="C10" i="6" s="1"/>
  <c r="D10" i="6" a="1"/>
  <c r="D10" i="6" s="1"/>
  <c r="E10" i="6" a="1"/>
  <c r="E10" i="6" s="1"/>
  <c r="F10" i="6" a="1"/>
  <c r="F10" i="6" s="1"/>
  <c r="G10" i="6" a="1"/>
  <c r="G10" i="6" s="1"/>
  <c r="H10" i="6" a="1"/>
  <c r="H10" i="6" s="1"/>
  <c r="I10" i="6" a="1"/>
  <c r="I10" i="6" s="1"/>
  <c r="J10" i="6" a="1"/>
  <c r="J10" i="6" s="1"/>
  <c r="K10" i="6" a="1"/>
  <c r="K10" i="6" s="1"/>
  <c r="L10" i="6" a="1"/>
  <c r="L10" i="6" s="1"/>
  <c r="M10" i="6" a="1"/>
  <c r="M10" i="6" s="1"/>
  <c r="N10" i="6" a="1"/>
  <c r="N10" i="6" s="1"/>
  <c r="O10" i="6" a="1"/>
  <c r="O10" i="6" s="1"/>
  <c r="P10" i="6" a="1"/>
  <c r="P10" i="6" s="1"/>
  <c r="Q10" i="6" a="1"/>
  <c r="Q10" i="6" s="1"/>
  <c r="R10" i="6" a="1"/>
  <c r="R10" i="6" s="1"/>
  <c r="S10" i="6" a="1"/>
  <c r="S10" i="6" s="1"/>
  <c r="B11" i="6" a="1"/>
  <c r="B11" i="6" s="1"/>
  <c r="C11" i="6" a="1"/>
  <c r="C11" i="6" s="1"/>
  <c r="D11" i="6" a="1"/>
  <c r="D11" i="6" s="1"/>
  <c r="E11" i="6" a="1"/>
  <c r="E11" i="6" s="1"/>
  <c r="F11" i="6" a="1"/>
  <c r="F11" i="6" s="1"/>
  <c r="G11" i="6" a="1"/>
  <c r="G11" i="6" s="1"/>
  <c r="H11" i="6" a="1"/>
  <c r="H11" i="6" s="1"/>
  <c r="I11" i="6" a="1"/>
  <c r="I11" i="6" s="1"/>
  <c r="J11" i="6" a="1"/>
  <c r="J11" i="6" s="1"/>
  <c r="K11" i="6" a="1"/>
  <c r="K11" i="6" s="1"/>
  <c r="L11" i="6" a="1"/>
  <c r="L11" i="6" s="1"/>
  <c r="M11" i="6" a="1"/>
  <c r="M11" i="6" s="1"/>
  <c r="N11" i="6" a="1"/>
  <c r="N11" i="6" s="1"/>
  <c r="O11" i="6" a="1"/>
  <c r="O11" i="6" s="1"/>
  <c r="P11" i="6" a="1"/>
  <c r="P11" i="6" s="1"/>
  <c r="Q11" i="6" a="1"/>
  <c r="Q11" i="6" s="1"/>
  <c r="R11" i="6" a="1"/>
  <c r="R11" i="6" s="1"/>
  <c r="S11" i="6" a="1"/>
  <c r="S11" i="6" s="1"/>
  <c r="B12" i="6" a="1"/>
  <c r="B12" i="6" s="1"/>
  <c r="C12" i="6" a="1"/>
  <c r="C12" i="6" s="1"/>
  <c r="D12" i="6" a="1"/>
  <c r="D12" i="6" s="1"/>
  <c r="E12" i="6" a="1"/>
  <c r="E12" i="6" s="1"/>
  <c r="F12" i="6" a="1"/>
  <c r="F12" i="6" s="1"/>
  <c r="G12" i="6" a="1"/>
  <c r="G12" i="6" s="1"/>
  <c r="H12" i="6" a="1"/>
  <c r="H12" i="6" s="1"/>
  <c r="I12" i="6" a="1"/>
  <c r="I12" i="6" s="1"/>
  <c r="J12" i="6" a="1"/>
  <c r="J12" i="6" s="1"/>
  <c r="K12" i="6" a="1"/>
  <c r="K12" i="6" s="1"/>
  <c r="L12" i="6" a="1"/>
  <c r="L12" i="6" s="1"/>
  <c r="M12" i="6" a="1"/>
  <c r="M12" i="6" s="1"/>
  <c r="N12" i="6" a="1"/>
  <c r="N12" i="6" s="1"/>
  <c r="O12" i="6" a="1"/>
  <c r="O12" i="6" s="1"/>
  <c r="P12" i="6" a="1"/>
  <c r="P12" i="6" s="1"/>
  <c r="Q12" i="6" a="1"/>
  <c r="Q12" i="6" s="1"/>
  <c r="R12" i="6" a="1"/>
  <c r="R12" i="6" s="1"/>
  <c r="S12" i="6" a="1"/>
  <c r="S12" i="6" s="1"/>
  <c r="B13" i="6" a="1"/>
  <c r="B13" i="6" s="1"/>
  <c r="C13" i="6" a="1"/>
  <c r="C13" i="6" s="1"/>
  <c r="D13" i="6" a="1"/>
  <c r="D13" i="6" s="1"/>
  <c r="E13" i="6" a="1"/>
  <c r="E13" i="6" s="1"/>
  <c r="F13" i="6" a="1"/>
  <c r="F13" i="6" s="1"/>
  <c r="G13" i="6" a="1"/>
  <c r="G13" i="6" s="1"/>
  <c r="H13" i="6" a="1"/>
  <c r="H13" i="6" s="1"/>
  <c r="I13" i="6" a="1"/>
  <c r="I13" i="6" s="1"/>
  <c r="J13" i="6" a="1"/>
  <c r="J13" i="6" s="1"/>
  <c r="K13" i="6" a="1"/>
  <c r="K13" i="6" s="1"/>
  <c r="L13" i="6" a="1"/>
  <c r="L13" i="6" s="1"/>
  <c r="M13" i="6" a="1"/>
  <c r="M13" i="6" s="1"/>
  <c r="N13" i="6" a="1"/>
  <c r="N13" i="6" s="1"/>
  <c r="O13" i="6" a="1"/>
  <c r="O13" i="6" s="1"/>
  <c r="P13" i="6" a="1"/>
  <c r="P13" i="6" s="1"/>
  <c r="Q13" i="6" a="1"/>
  <c r="Q13" i="6" s="1"/>
  <c r="R13" i="6" a="1"/>
  <c r="R13" i="6" s="1"/>
  <c r="S13" i="6" a="1"/>
  <c r="S13" i="6" s="1"/>
  <c r="B14" i="6" a="1"/>
  <c r="B14" i="6" s="1"/>
  <c r="C14" i="6" a="1"/>
  <c r="C14" i="6" s="1"/>
  <c r="D14" i="6" a="1"/>
  <c r="D14" i="6" s="1"/>
  <c r="E14" i="6" a="1"/>
  <c r="E14" i="6" s="1"/>
  <c r="F14" i="6" a="1"/>
  <c r="F14" i="6" s="1"/>
  <c r="G14" i="6" a="1"/>
  <c r="G14" i="6" s="1"/>
  <c r="H14" i="6" a="1"/>
  <c r="H14" i="6" s="1"/>
  <c r="I14" i="6" a="1"/>
  <c r="I14" i="6" s="1"/>
  <c r="J14" i="6" a="1"/>
  <c r="J14" i="6" s="1"/>
  <c r="K14" i="6" a="1"/>
  <c r="K14" i="6" s="1"/>
  <c r="L14" i="6" a="1"/>
  <c r="L14" i="6" s="1"/>
  <c r="M14" i="6" a="1"/>
  <c r="M14" i="6" s="1"/>
  <c r="N14" i="6" a="1"/>
  <c r="N14" i="6" s="1"/>
  <c r="O14" i="6" a="1"/>
  <c r="O14" i="6" s="1"/>
  <c r="P14" i="6" a="1"/>
  <c r="P14" i="6" s="1"/>
  <c r="Q14" i="6" a="1"/>
  <c r="Q14" i="6" s="1"/>
  <c r="R14" i="6" a="1"/>
  <c r="R14" i="6" s="1"/>
  <c r="S14" i="6" a="1"/>
  <c r="S14" i="6" s="1"/>
  <c r="B15" i="6" a="1"/>
  <c r="B15" i="6" s="1"/>
  <c r="C15" i="6" a="1"/>
  <c r="C15" i="6" s="1"/>
  <c r="D15" i="6" a="1"/>
  <c r="D15" i="6" s="1"/>
  <c r="E15" i="6" a="1"/>
  <c r="E15" i="6" s="1"/>
  <c r="F15" i="6" a="1"/>
  <c r="F15" i="6" s="1"/>
  <c r="G15" i="6" a="1"/>
  <c r="G15" i="6" s="1"/>
  <c r="H15" i="6" a="1"/>
  <c r="H15" i="6" s="1"/>
  <c r="I15" i="6" a="1"/>
  <c r="I15" i="6" s="1"/>
  <c r="J15" i="6" a="1"/>
  <c r="J15" i="6" s="1"/>
  <c r="K15" i="6" a="1"/>
  <c r="K15" i="6" s="1"/>
  <c r="L15" i="6" a="1"/>
  <c r="L15" i="6" s="1"/>
  <c r="M15" i="6" a="1"/>
  <c r="M15" i="6" s="1"/>
  <c r="N15" i="6" a="1"/>
  <c r="N15" i="6" s="1"/>
  <c r="O15" i="6" a="1"/>
  <c r="O15" i="6" s="1"/>
  <c r="P15" i="6" a="1"/>
  <c r="P15" i="6" s="1"/>
  <c r="Q15" i="6" a="1"/>
  <c r="Q15" i="6" s="1"/>
  <c r="R15" i="6" a="1"/>
  <c r="R15" i="6" s="1"/>
  <c r="S15" i="6" a="1"/>
  <c r="S15" i="6" s="1"/>
  <c r="B16" i="6" a="1"/>
  <c r="B16" i="6" s="1"/>
  <c r="C16" i="6" a="1"/>
  <c r="C16" i="6" s="1"/>
  <c r="D16" i="6" a="1"/>
  <c r="D16" i="6" s="1"/>
  <c r="E16" i="6" a="1"/>
  <c r="E16" i="6" s="1"/>
  <c r="F16" i="6" a="1"/>
  <c r="F16" i="6" s="1"/>
  <c r="G16" i="6" a="1"/>
  <c r="G16" i="6" s="1"/>
  <c r="H16" i="6" a="1"/>
  <c r="H16" i="6" s="1"/>
  <c r="I16" i="6" a="1"/>
  <c r="I16" i="6" s="1"/>
  <c r="J16" i="6" a="1"/>
  <c r="J16" i="6" s="1"/>
  <c r="K16" i="6" a="1"/>
  <c r="K16" i="6" s="1"/>
  <c r="L16" i="6" a="1"/>
  <c r="L16" i="6" s="1"/>
  <c r="M16" i="6" a="1"/>
  <c r="M16" i="6" s="1"/>
  <c r="N16" i="6" a="1"/>
  <c r="N16" i="6" s="1"/>
  <c r="O16" i="6" a="1"/>
  <c r="O16" i="6" s="1"/>
  <c r="P16" i="6" a="1"/>
  <c r="P16" i="6" s="1"/>
  <c r="Q16" i="6" a="1"/>
  <c r="Q16" i="6" s="1"/>
  <c r="R16" i="6" a="1"/>
  <c r="R16" i="6" s="1"/>
  <c r="S16" i="6" a="1"/>
  <c r="S16" i="6" s="1"/>
  <c r="B17" i="6" a="1"/>
  <c r="B17" i="6" s="1"/>
  <c r="C17" i="6" a="1"/>
  <c r="C17" i="6" s="1"/>
  <c r="D17" i="6" a="1"/>
  <c r="D17" i="6" s="1"/>
  <c r="E17" i="6" a="1"/>
  <c r="E17" i="6" s="1"/>
  <c r="F17" i="6" a="1"/>
  <c r="F17" i="6" s="1"/>
  <c r="G17" i="6" a="1"/>
  <c r="G17" i="6" s="1"/>
  <c r="H17" i="6" a="1"/>
  <c r="H17" i="6" s="1"/>
  <c r="I17" i="6" a="1"/>
  <c r="I17" i="6" s="1"/>
  <c r="J17" i="6" a="1"/>
  <c r="J17" i="6"/>
  <c r="K17" i="6" a="1"/>
  <c r="K17" i="6" s="1"/>
  <c r="L17" i="6" a="1"/>
  <c r="L17" i="6" s="1"/>
  <c r="M17" i="6" a="1"/>
  <c r="M17" i="6" s="1"/>
  <c r="N17" i="6" a="1"/>
  <c r="N17" i="6" s="1"/>
  <c r="O17" i="6" a="1"/>
  <c r="O17" i="6" s="1"/>
  <c r="P17" i="6" a="1"/>
  <c r="P17" i="6" s="1"/>
  <c r="Q17" i="6" a="1"/>
  <c r="Q17" i="6" s="1"/>
  <c r="R17" i="6" a="1"/>
  <c r="R17" i="6" s="1"/>
  <c r="S17" i="6" a="1"/>
  <c r="S17" i="6" s="1"/>
  <c r="B18" i="6" a="1"/>
  <c r="B18" i="6" s="1"/>
  <c r="C18" i="6" a="1"/>
  <c r="C18" i="6" s="1"/>
  <c r="D18" i="6" a="1"/>
  <c r="D18" i="6" s="1"/>
  <c r="E18" i="6" a="1"/>
  <c r="E18" i="6" s="1"/>
  <c r="F18" i="6" a="1"/>
  <c r="F18" i="6" s="1"/>
  <c r="G18" i="6" a="1"/>
  <c r="G18" i="6" s="1"/>
  <c r="H18" i="6" a="1"/>
  <c r="H18" i="6" s="1"/>
  <c r="I18" i="6" a="1"/>
  <c r="I18" i="6" s="1"/>
  <c r="J18" i="6" a="1"/>
  <c r="J18" i="6" s="1"/>
  <c r="K18" i="6" a="1"/>
  <c r="K18" i="6" s="1"/>
  <c r="L18" i="6" a="1"/>
  <c r="L18" i="6" s="1"/>
  <c r="M18" i="6" a="1"/>
  <c r="M18" i="6" s="1"/>
  <c r="N18" i="6" a="1"/>
  <c r="N18" i="6" s="1"/>
  <c r="O18" i="6" a="1"/>
  <c r="O18" i="6" s="1"/>
  <c r="P18" i="6" a="1"/>
  <c r="P18" i="6" s="1"/>
  <c r="Q18" i="6" a="1"/>
  <c r="Q18" i="6" s="1"/>
  <c r="R18" i="6" a="1"/>
  <c r="R18" i="6" s="1"/>
  <c r="S18" i="6" a="1"/>
  <c r="S18" i="6" s="1"/>
  <c r="B19" i="6" a="1"/>
  <c r="B19" i="6" s="1"/>
  <c r="C19" i="6" a="1"/>
  <c r="C19" i="6" s="1"/>
  <c r="D19" i="6" a="1"/>
  <c r="D19" i="6" s="1"/>
  <c r="E19" i="6" a="1"/>
  <c r="E19" i="6" s="1"/>
  <c r="F19" i="6" a="1"/>
  <c r="F19" i="6" s="1"/>
  <c r="G19" i="6" a="1"/>
  <c r="G19" i="6" s="1"/>
  <c r="H19" i="6" a="1"/>
  <c r="H19" i="6" s="1"/>
  <c r="I19" i="6" a="1"/>
  <c r="I19" i="6" s="1"/>
  <c r="J19" i="6" a="1"/>
  <c r="J19" i="6" s="1"/>
  <c r="K19" i="6" a="1"/>
  <c r="K19" i="6" s="1"/>
  <c r="L19" i="6" a="1"/>
  <c r="L19" i="6" s="1"/>
  <c r="M19" i="6" a="1"/>
  <c r="M19" i="6" s="1"/>
  <c r="N19" i="6" a="1"/>
  <c r="N19" i="6" s="1"/>
  <c r="O19" i="6" a="1"/>
  <c r="O19" i="6" s="1"/>
  <c r="P19" i="6" a="1"/>
  <c r="P19" i="6" s="1"/>
  <c r="Q19" i="6" a="1"/>
  <c r="Q19" i="6" s="1"/>
  <c r="R19" i="6" a="1"/>
  <c r="R19" i="6" s="1"/>
  <c r="S19" i="6" a="1"/>
  <c r="S19" i="6" s="1"/>
  <c r="B20" i="6" a="1"/>
  <c r="B20" i="6" s="1"/>
  <c r="C20" i="6" a="1"/>
  <c r="C20" i="6" s="1"/>
  <c r="D20" i="6" a="1"/>
  <c r="D20" i="6"/>
  <c r="E20" i="6" a="1"/>
  <c r="E20" i="6" s="1"/>
  <c r="F20" i="6" a="1"/>
  <c r="F20" i="6" s="1"/>
  <c r="G20" i="6" a="1"/>
  <c r="G20" i="6" s="1"/>
  <c r="H20" i="6" a="1"/>
  <c r="H20" i="6" s="1"/>
  <c r="I20" i="6" a="1"/>
  <c r="I20" i="6" s="1"/>
  <c r="J20" i="6" a="1"/>
  <c r="J20" i="6" s="1"/>
  <c r="K20" i="6" a="1"/>
  <c r="K20" i="6" s="1"/>
  <c r="L20" i="6" a="1"/>
  <c r="L20" i="6"/>
  <c r="M20" i="6" a="1"/>
  <c r="M20" i="6" s="1"/>
  <c r="N20" i="6" a="1"/>
  <c r="N20" i="6" s="1"/>
  <c r="O20" i="6" a="1"/>
  <c r="O20" i="6" s="1"/>
  <c r="P20" i="6" a="1"/>
  <c r="P20" i="6"/>
  <c r="Q20" i="6" a="1"/>
  <c r="Q20" i="6" s="1"/>
  <c r="R20" i="6" a="1"/>
  <c r="R20" i="6" s="1"/>
  <c r="S20" i="6" a="1"/>
  <c r="S20" i="6" s="1"/>
  <c r="B21" i="6" a="1"/>
  <c r="B21" i="6" s="1"/>
  <c r="C21" i="6" a="1"/>
  <c r="C21" i="6" s="1"/>
  <c r="D21" i="6" a="1"/>
  <c r="D21" i="6" s="1"/>
  <c r="E21" i="6" a="1"/>
  <c r="E21" i="6" s="1"/>
  <c r="F21" i="6" a="1"/>
  <c r="F21" i="6" s="1"/>
  <c r="G21" i="6" a="1"/>
  <c r="G21" i="6" s="1"/>
  <c r="H21" i="6" a="1"/>
  <c r="H21" i="6" s="1"/>
  <c r="I21" i="6" a="1"/>
  <c r="I21" i="6" s="1"/>
  <c r="J21" i="6" a="1"/>
  <c r="J21" i="6"/>
  <c r="K21" i="6" a="1"/>
  <c r="K21" i="6" s="1"/>
  <c r="L21" i="6" a="1"/>
  <c r="L21" i="6" s="1"/>
  <c r="M21" i="6" a="1"/>
  <c r="M21" i="6" s="1"/>
  <c r="N21" i="6" a="1"/>
  <c r="N21" i="6" s="1"/>
  <c r="O21" i="6" a="1"/>
  <c r="O21" i="6" s="1"/>
  <c r="P21" i="6" a="1"/>
  <c r="P21" i="6" s="1"/>
  <c r="Q21" i="6" a="1"/>
  <c r="Q21" i="6" s="1"/>
  <c r="R21" i="6" a="1"/>
  <c r="R21" i="6" s="1"/>
  <c r="S21" i="6" a="1"/>
  <c r="S21" i="6" s="1"/>
  <c r="B22" i="6" a="1"/>
  <c r="B22" i="6" s="1"/>
  <c r="C22" i="6" a="1"/>
  <c r="C22" i="6" s="1"/>
  <c r="D22" i="6" a="1"/>
  <c r="D22" i="6" s="1"/>
  <c r="E22" i="6" a="1"/>
  <c r="E22" i="6" s="1"/>
  <c r="F22" i="6" a="1"/>
  <c r="F22" i="6" s="1"/>
  <c r="G22" i="6" a="1"/>
  <c r="G22" i="6" s="1"/>
  <c r="H22" i="6" a="1"/>
  <c r="H22" i="6" s="1"/>
  <c r="I22" i="6" a="1"/>
  <c r="I22" i="6" s="1"/>
  <c r="J22" i="6" a="1"/>
  <c r="J22" i="6" s="1"/>
  <c r="K22" i="6" a="1"/>
  <c r="K22" i="6" s="1"/>
  <c r="L22" i="6" a="1"/>
  <c r="L22" i="6" s="1"/>
  <c r="M22" i="6" a="1"/>
  <c r="M22" i="6" s="1"/>
  <c r="N22" i="6" a="1"/>
  <c r="N22" i="6" s="1"/>
  <c r="O22" i="6" a="1"/>
  <c r="O22" i="6" s="1"/>
  <c r="P22" i="6" a="1"/>
  <c r="P22" i="6" s="1"/>
  <c r="Q22" i="6" a="1"/>
  <c r="Q22" i="6" s="1"/>
  <c r="R22" i="6" a="1"/>
  <c r="R22" i="6" s="1"/>
  <c r="S22" i="6" a="1"/>
  <c r="S22" i="6" s="1"/>
  <c r="A3" i="6" a="1"/>
  <c r="A3" i="6" s="1"/>
  <c r="O28" i="8"/>
  <c r="L28" i="8"/>
  <c r="J28" i="8"/>
  <c r="I28" i="8"/>
  <c r="H28" i="8"/>
  <c r="G28" i="8"/>
  <c r="F28" i="8"/>
  <c r="E28" i="8"/>
  <c r="E32" i="8"/>
  <c r="E33" i="8"/>
  <c r="E34" i="8"/>
  <c r="E35" i="8"/>
  <c r="E36" i="8"/>
  <c r="E37" i="8"/>
  <c r="E39" i="8"/>
  <c r="L27" i="8"/>
  <c r="J27" i="8"/>
  <c r="I27" i="8"/>
  <c r="H27" i="8"/>
  <c r="G27" i="8"/>
  <c r="F27" i="8"/>
  <c r="E27" i="8"/>
  <c r="AF26" i="8"/>
  <c r="AF25" i="8"/>
  <c r="AF24" i="8"/>
  <c r="AF23" i="8"/>
  <c r="AF22" i="8"/>
  <c r="AF21" i="8"/>
  <c r="AF20" i="8"/>
  <c r="AF19" i="8"/>
  <c r="AF18" i="8"/>
  <c r="AF17" i="8"/>
  <c r="AF16" i="8"/>
  <c r="AF15" i="8"/>
  <c r="AF14" i="8"/>
  <c r="AF13" i="8"/>
  <c r="AF12" i="8"/>
  <c r="AE26" i="8"/>
  <c r="AE25" i="8"/>
  <c r="AE24" i="8"/>
  <c r="AE23" i="8"/>
  <c r="AE22" i="8"/>
  <c r="AE21" i="8"/>
  <c r="AE20" i="8"/>
  <c r="D4" i="8"/>
  <c r="M9" i="8"/>
  <c r="Y26" i="8"/>
  <c r="Y25" i="8"/>
  <c r="Y24" i="8"/>
  <c r="Y23" i="8"/>
  <c r="Y22" i="8"/>
  <c r="Y21" i="8"/>
  <c r="Y20" i="8"/>
  <c r="V36" i="8"/>
  <c r="M88" i="6"/>
  <c r="L88" i="6" s="1"/>
  <c r="M87" i="6"/>
  <c r="L87" i="6" s="1"/>
  <c r="M86" i="6"/>
  <c r="L86" i="6" s="1"/>
  <c r="M85" i="6"/>
  <c r="L85" i="6" s="1"/>
  <c r="M40" i="6"/>
  <c r="L40" i="6" s="1"/>
  <c r="M84" i="6"/>
  <c r="L84" i="6" s="1"/>
  <c r="M83" i="6"/>
  <c r="L83" i="6" s="1"/>
  <c r="M82" i="6"/>
  <c r="L82" i="6" s="1"/>
  <c r="M81" i="6"/>
  <c r="L81" i="6" s="1"/>
  <c r="M80" i="6"/>
  <c r="L80" i="6" s="1"/>
  <c r="M79" i="6"/>
  <c r="L79" i="6" s="1"/>
  <c r="M39" i="6"/>
  <c r="L39" i="6" s="1"/>
  <c r="M78" i="6"/>
  <c r="L78" i="6" s="1"/>
  <c r="M77" i="6"/>
  <c r="L77" i="6" s="1"/>
  <c r="M76" i="6"/>
  <c r="L76" i="6" s="1"/>
  <c r="M75" i="6"/>
  <c r="L75" i="6" s="1"/>
  <c r="M38" i="6"/>
  <c r="L38" i="6" s="1"/>
  <c r="M37" i="6"/>
  <c r="L37" i="6" s="1"/>
  <c r="M74" i="6"/>
  <c r="L74" i="6" s="1"/>
  <c r="M73" i="6"/>
  <c r="L73" i="6" s="1"/>
  <c r="M72" i="6"/>
  <c r="L72" i="6" s="1"/>
  <c r="M36" i="6"/>
  <c r="L36" i="6" s="1"/>
  <c r="M71" i="6"/>
  <c r="L71" i="6" s="1"/>
  <c r="M70" i="6"/>
  <c r="L70" i="6" s="1"/>
  <c r="M69" i="6"/>
  <c r="L69" i="6" s="1"/>
  <c r="M35" i="6"/>
  <c r="L35" i="6" s="1"/>
  <c r="M68" i="6"/>
  <c r="L68" i="6" s="1"/>
  <c r="M67" i="6"/>
  <c r="L67" i="6" s="1"/>
  <c r="M66" i="6"/>
  <c r="L66" i="6" s="1"/>
  <c r="M65" i="6"/>
  <c r="L65" i="6" s="1"/>
  <c r="M64" i="6"/>
  <c r="L64" i="6" s="1"/>
  <c r="M34" i="6"/>
  <c r="L34" i="6" s="1"/>
  <c r="M63" i="6"/>
  <c r="L63" i="6" s="1"/>
  <c r="M62" i="6"/>
  <c r="L62" i="6" s="1"/>
  <c r="M33" i="6"/>
  <c r="L33" i="6" s="1"/>
  <c r="M61" i="6"/>
  <c r="L61" i="6" s="1"/>
  <c r="M60" i="6"/>
  <c r="L60" i="6" s="1"/>
  <c r="M59" i="6"/>
  <c r="L59" i="6" s="1"/>
  <c r="M58" i="6"/>
  <c r="L58" i="6" s="1"/>
  <c r="M57" i="6"/>
  <c r="L57" i="6" s="1"/>
  <c r="M56" i="6"/>
  <c r="L56" i="6" s="1"/>
  <c r="M55" i="6"/>
  <c r="L55" i="6" s="1"/>
  <c r="M54" i="6"/>
  <c r="L54" i="6" s="1"/>
  <c r="M53" i="6"/>
  <c r="L53" i="6" s="1"/>
  <c r="M32" i="6"/>
  <c r="L32" i="6" s="1"/>
  <c r="M52" i="6"/>
  <c r="L52" i="6" s="1"/>
  <c r="M31" i="6"/>
  <c r="L31" i="6" s="1"/>
  <c r="M30" i="6"/>
  <c r="L30" i="6" s="1"/>
  <c r="M29" i="6"/>
  <c r="L29" i="6" s="1"/>
  <c r="M51" i="6"/>
  <c r="L51" i="6" s="1"/>
  <c r="M28" i="6"/>
  <c r="L28" i="6" s="1"/>
  <c r="M50" i="6"/>
  <c r="L50" i="6" s="1"/>
  <c r="M49" i="6"/>
  <c r="L49" i="6" s="1"/>
  <c r="M27" i="6"/>
  <c r="L27" i="6" s="1"/>
  <c r="M48" i="6"/>
  <c r="L48" i="6" s="1"/>
  <c r="M47" i="6"/>
  <c r="L47" i="6" s="1"/>
  <c r="M46" i="6"/>
  <c r="L46" i="6" s="1"/>
  <c r="M45" i="6"/>
  <c r="L45" i="6" s="1"/>
  <c r="D288" i="30"/>
  <c r="E288" i="30"/>
  <c r="F288" i="30"/>
  <c r="G288" i="30"/>
  <c r="H288" i="30"/>
  <c r="I288" i="30"/>
  <c r="J288" i="30"/>
  <c r="K288" i="30"/>
  <c r="L288" i="30"/>
  <c r="M288" i="30"/>
  <c r="N288" i="30"/>
  <c r="D289" i="30"/>
  <c r="E289" i="30"/>
  <c r="F289" i="30"/>
  <c r="G289" i="30"/>
  <c r="H289" i="30"/>
  <c r="I289" i="30"/>
  <c r="J289" i="30"/>
  <c r="K289" i="30"/>
  <c r="L289" i="30"/>
  <c r="M289" i="30"/>
  <c r="N289" i="30"/>
  <c r="D290" i="30"/>
  <c r="E290" i="30"/>
  <c r="F290" i="30"/>
  <c r="G290" i="30"/>
  <c r="H290" i="30"/>
  <c r="I290" i="30"/>
  <c r="J290" i="30"/>
  <c r="K290" i="30"/>
  <c r="L290" i="30"/>
  <c r="M290" i="30"/>
  <c r="N290" i="30"/>
  <c r="F292" i="30"/>
  <c r="N291" i="30"/>
  <c r="J291" i="30"/>
  <c r="E291" i="30"/>
  <c r="D193" i="30"/>
  <c r="F268" i="30"/>
  <c r="N267" i="30"/>
  <c r="J267" i="30"/>
  <c r="E267" i="30"/>
  <c r="N266" i="30"/>
  <c r="M266" i="30"/>
  <c r="L266" i="30"/>
  <c r="K266" i="30"/>
  <c r="J266" i="30"/>
  <c r="I266" i="30"/>
  <c r="H266" i="30"/>
  <c r="G266" i="30"/>
  <c r="F266" i="30"/>
  <c r="E266" i="30"/>
  <c r="D266" i="30"/>
  <c r="N265" i="30"/>
  <c r="M265" i="30"/>
  <c r="L265" i="30"/>
  <c r="K265" i="30"/>
  <c r="J265" i="30"/>
  <c r="I265" i="30"/>
  <c r="H265" i="30"/>
  <c r="G265" i="30"/>
  <c r="F265" i="30"/>
  <c r="E265" i="30"/>
  <c r="D265" i="30"/>
  <c r="N264" i="30"/>
  <c r="M264" i="30"/>
  <c r="L264" i="30"/>
  <c r="K264" i="30"/>
  <c r="J264" i="30"/>
  <c r="I264" i="30"/>
  <c r="H264" i="30"/>
  <c r="G264" i="30"/>
  <c r="F264" i="30"/>
  <c r="E264" i="30"/>
  <c r="D264" i="30"/>
  <c r="N263" i="30"/>
  <c r="M263" i="30"/>
  <c r="L263" i="30"/>
  <c r="K263" i="30"/>
  <c r="J263" i="30"/>
  <c r="I263" i="30"/>
  <c r="H263" i="30"/>
  <c r="G263" i="30"/>
  <c r="F263" i="30"/>
  <c r="E263" i="30"/>
  <c r="D263" i="30"/>
  <c r="F238" i="30"/>
  <c r="N237" i="30"/>
  <c r="J237" i="30"/>
  <c r="E237" i="30"/>
  <c r="N236" i="30"/>
  <c r="M236" i="30"/>
  <c r="L236" i="30"/>
  <c r="K236" i="30"/>
  <c r="J236" i="30"/>
  <c r="I236" i="30"/>
  <c r="H236" i="30"/>
  <c r="G236" i="30"/>
  <c r="F236" i="30"/>
  <c r="E236" i="30"/>
  <c r="D236" i="30"/>
  <c r="N235" i="30"/>
  <c r="M235" i="30"/>
  <c r="L235" i="30"/>
  <c r="K235" i="30"/>
  <c r="J235" i="30"/>
  <c r="I235" i="30"/>
  <c r="H235" i="30"/>
  <c r="G235" i="30"/>
  <c r="F235" i="30"/>
  <c r="E235" i="30"/>
  <c r="D235" i="30"/>
  <c r="N234" i="30"/>
  <c r="M234" i="30"/>
  <c r="L234" i="30"/>
  <c r="K234" i="30"/>
  <c r="J234" i="30"/>
  <c r="I234" i="30"/>
  <c r="H234" i="30"/>
  <c r="G234" i="30"/>
  <c r="F234" i="30"/>
  <c r="E234" i="30"/>
  <c r="D234" i="30"/>
  <c r="N233" i="30"/>
  <c r="M233" i="30"/>
  <c r="L233" i="30"/>
  <c r="K233" i="30"/>
  <c r="J233" i="30"/>
  <c r="I233" i="30"/>
  <c r="H233" i="30"/>
  <c r="G233" i="30"/>
  <c r="F233" i="30"/>
  <c r="E233" i="30"/>
  <c r="D233" i="30"/>
  <c r="D231" i="30"/>
  <c r="J87" i="6"/>
  <c r="J39" i="6"/>
  <c r="J77" i="6"/>
  <c r="J38" i="6"/>
  <c r="J37" i="6"/>
  <c r="J74" i="6"/>
  <c r="J73" i="6"/>
  <c r="J72" i="6"/>
  <c r="J68" i="6"/>
  <c r="J65" i="6"/>
  <c r="J57" i="6"/>
  <c r="J32" i="6"/>
  <c r="J31" i="6"/>
  <c r="J30" i="6"/>
  <c r="J51" i="6"/>
  <c r="J28" i="6"/>
  <c r="J29" i="6"/>
  <c r="J48" i="6"/>
  <c r="J50" i="6"/>
  <c r="J47" i="6"/>
  <c r="I8" i="7"/>
  <c r="J8" i="7"/>
  <c r="W24" i="8"/>
  <c r="E7" i="7"/>
  <c r="J7" i="7"/>
  <c r="X13" i="8"/>
  <c r="X25" i="8"/>
  <c r="G5" i="7"/>
  <c r="X23" i="8"/>
  <c r="X22" i="8"/>
  <c r="X19" i="8"/>
  <c r="X15" i="8"/>
  <c r="X21" i="8"/>
  <c r="X24" i="8"/>
  <c r="E5" i="7"/>
  <c r="C8" i="7"/>
  <c r="D5" i="7"/>
  <c r="D8" i="7"/>
  <c r="G6" i="7"/>
  <c r="E6" i="7"/>
  <c r="C5" i="7"/>
  <c r="F6" i="7"/>
  <c r="X26" i="8"/>
  <c r="I7" i="7"/>
  <c r="G7" i="7"/>
  <c r="W20" i="8"/>
  <c r="D7" i="7"/>
  <c r="W21" i="8"/>
  <c r="X12" i="8"/>
  <c r="J5" i="7"/>
  <c r="W25" i="8"/>
  <c r="X16" i="8"/>
  <c r="C7" i="7"/>
  <c r="I6" i="7"/>
  <c r="F8" i="7"/>
  <c r="F7" i="7"/>
  <c r="W22" i="8"/>
  <c r="W23" i="8"/>
  <c r="X14" i="8"/>
  <c r="X17" i="8"/>
  <c r="X20" i="8"/>
  <c r="E8" i="7"/>
  <c r="W26" i="8"/>
  <c r="X18" i="8"/>
  <c r="C6" i="7"/>
  <c r="J6" i="7"/>
  <c r="I5" i="7"/>
  <c r="D6" i="7"/>
  <c r="G8" i="7"/>
  <c r="AO19" i="98" l="1"/>
  <c r="AP19" i="98" s="1"/>
  <c r="AN19" i="98"/>
  <c r="AP12" i="98"/>
  <c r="V11" i="98"/>
  <c r="V14" i="98"/>
  <c r="V18" i="98"/>
  <c r="AN26" i="98"/>
  <c r="AO26" i="98"/>
  <c r="AO20" i="98"/>
  <c r="AP20" i="98" s="1"/>
  <c r="AN20" i="98"/>
  <c r="AN11" i="98" s="1"/>
  <c r="M6" i="98" s="1"/>
  <c r="V21" i="98"/>
  <c r="V20" i="98"/>
  <c r="V15" i="98"/>
  <c r="V19" i="98"/>
  <c r="V22" i="98"/>
  <c r="AO23" i="98"/>
  <c r="AN23" i="98"/>
  <c r="V25" i="97"/>
  <c r="AO24" i="98"/>
  <c r="AN24" i="98"/>
  <c r="V24" i="98"/>
  <c r="V12" i="98"/>
  <c r="V16" i="98"/>
  <c r="V23" i="98"/>
  <c r="AN21" i="98"/>
  <c r="AO21" i="98"/>
  <c r="AP21" i="98" s="1"/>
  <c r="AO27" i="98"/>
  <c r="AN27" i="98"/>
  <c r="V26" i="98"/>
  <c r="V13" i="98"/>
  <c r="V17" i="98"/>
  <c r="V25" i="98"/>
  <c r="V20" i="97"/>
  <c r="V13" i="97"/>
  <c r="V17" i="97"/>
  <c r="AN24" i="97"/>
  <c r="AO24" i="97"/>
  <c r="AO21" i="97"/>
  <c r="AP21" i="97" s="1"/>
  <c r="AN21" i="97"/>
  <c r="AO19" i="97"/>
  <c r="AP19" i="97" s="1"/>
  <c r="AN19" i="97"/>
  <c r="AP12" i="97"/>
  <c r="V24" i="97"/>
  <c r="V14" i="97"/>
  <c r="V18" i="97"/>
  <c r="AO20" i="97"/>
  <c r="AP20" i="97" s="1"/>
  <c r="AN20" i="97"/>
  <c r="V24" i="96"/>
  <c r="V21" i="97"/>
  <c r="V26" i="97"/>
  <c r="V15" i="97"/>
  <c r="V19" i="97"/>
  <c r="V22" i="97"/>
  <c r="AN26" i="97"/>
  <c r="AO26" i="97"/>
  <c r="AO23" i="97"/>
  <c r="AN23" i="97"/>
  <c r="V11" i="97"/>
  <c r="V12" i="97"/>
  <c r="V16" i="97"/>
  <c r="V23" i="97"/>
  <c r="AO27" i="97"/>
  <c r="AN27" i="97"/>
  <c r="V20" i="96"/>
  <c r="V14" i="96"/>
  <c r="V18" i="96"/>
  <c r="AO19" i="96"/>
  <c r="AP19" i="96" s="1"/>
  <c r="AN19" i="96"/>
  <c r="AO26" i="96"/>
  <c r="AN26" i="96"/>
  <c r="AO21" i="96"/>
  <c r="AP21" i="96" s="1"/>
  <c r="AN21" i="96"/>
  <c r="AP12" i="96"/>
  <c r="V26" i="96"/>
  <c r="V15" i="96"/>
  <c r="V19" i="96"/>
  <c r="AO27" i="96"/>
  <c r="AN27" i="96"/>
  <c r="V21" i="96"/>
  <c r="V12" i="96"/>
  <c r="V16" i="96"/>
  <c r="V23" i="96"/>
  <c r="V22" i="96"/>
  <c r="AN24" i="96"/>
  <c r="AO24" i="96"/>
  <c r="AO23" i="96"/>
  <c r="AN23" i="96"/>
  <c r="V11" i="96"/>
  <c r="V13" i="96"/>
  <c r="V17" i="96"/>
  <c r="V25" i="96"/>
  <c r="AO20" i="96"/>
  <c r="AP20" i="96" s="1"/>
  <c r="AN20" i="96"/>
  <c r="AN11" i="96" s="1"/>
  <c r="M6" i="96" s="1"/>
  <c r="P5" i="7"/>
  <c r="N8" i="7"/>
  <c r="N6" i="7"/>
  <c r="N5" i="7"/>
  <c r="N7" i="7"/>
  <c r="V34" i="8"/>
  <c r="J7" i="8" s="1"/>
  <c r="K6" i="8"/>
  <c r="W36" i="8"/>
  <c r="J66" i="6"/>
  <c r="J84" i="6"/>
  <c r="J79" i="6"/>
  <c r="J78" i="6"/>
  <c r="J60" i="6"/>
  <c r="J46" i="6"/>
  <c r="J27" i="6"/>
  <c r="J54" i="6"/>
  <c r="F114" i="30"/>
  <c r="F38" i="30"/>
  <c r="F10" i="30"/>
  <c r="F302" i="30"/>
  <c r="F281" i="30"/>
  <c r="F259" i="30"/>
  <c r="F248" i="30"/>
  <c r="F229" i="30"/>
  <c r="F219" i="30"/>
  <c r="F207" i="30"/>
  <c r="F191" i="30"/>
  <c r="F183" i="30"/>
  <c r="F174" i="30"/>
  <c r="F163" i="30"/>
  <c r="F153" i="30"/>
  <c r="F144" i="30"/>
  <c r="F135" i="30"/>
  <c r="F125" i="30"/>
  <c r="F105" i="30"/>
  <c r="F96" i="30"/>
  <c r="F83" i="30"/>
  <c r="F74" i="30"/>
  <c r="F53" i="30"/>
  <c r="F28" i="30"/>
  <c r="F18" i="30"/>
  <c r="N173" i="30"/>
  <c r="J173" i="30"/>
  <c r="E173" i="30"/>
  <c r="N172" i="30"/>
  <c r="M172" i="30"/>
  <c r="L172" i="30"/>
  <c r="K172" i="30"/>
  <c r="J172" i="30"/>
  <c r="I172" i="30"/>
  <c r="H172" i="30"/>
  <c r="G172" i="30"/>
  <c r="F172" i="30"/>
  <c r="E172" i="30"/>
  <c r="D172" i="30"/>
  <c r="N171" i="30"/>
  <c r="M171" i="30"/>
  <c r="L171" i="30"/>
  <c r="K171" i="30"/>
  <c r="J171" i="30"/>
  <c r="I171" i="30"/>
  <c r="H171" i="30"/>
  <c r="G171" i="30"/>
  <c r="F171" i="30"/>
  <c r="E171" i="30"/>
  <c r="D171" i="30"/>
  <c r="N170" i="30"/>
  <c r="M170" i="30"/>
  <c r="L170" i="30"/>
  <c r="K170" i="30"/>
  <c r="J170" i="30"/>
  <c r="I170" i="30"/>
  <c r="H170" i="30"/>
  <c r="G170" i="30"/>
  <c r="F170" i="30"/>
  <c r="E170" i="30"/>
  <c r="D170" i="30"/>
  <c r="N169" i="30"/>
  <c r="M169" i="30"/>
  <c r="L169" i="30"/>
  <c r="K169" i="30"/>
  <c r="J169" i="30"/>
  <c r="I169" i="30"/>
  <c r="H169" i="30"/>
  <c r="G169" i="30"/>
  <c r="F169" i="30"/>
  <c r="E169" i="30"/>
  <c r="D169" i="30"/>
  <c r="N168" i="30"/>
  <c r="M168" i="30"/>
  <c r="L168" i="30"/>
  <c r="K168" i="30"/>
  <c r="J168" i="30"/>
  <c r="I168" i="30"/>
  <c r="H168" i="30"/>
  <c r="G168" i="30"/>
  <c r="F168" i="30"/>
  <c r="E168" i="30"/>
  <c r="D168" i="30"/>
  <c r="N167" i="30"/>
  <c r="M167" i="30"/>
  <c r="L167" i="30"/>
  <c r="K167" i="30"/>
  <c r="J167" i="30"/>
  <c r="I167" i="30"/>
  <c r="H167" i="30"/>
  <c r="G167" i="30"/>
  <c r="F167" i="30"/>
  <c r="E167" i="30"/>
  <c r="D167" i="30"/>
  <c r="D165" i="30"/>
  <c r="B45" i="8"/>
  <c r="H6" i="7"/>
  <c r="F5" i="7"/>
  <c r="AN11" i="97" l="1"/>
  <c r="M6" i="97" s="1"/>
  <c r="AO11" i="98"/>
  <c r="AP11" i="98"/>
  <c r="M3" i="98" s="1"/>
  <c r="AO11" i="97"/>
  <c r="AP11" i="97"/>
  <c r="M3" i="97" s="1"/>
  <c r="AO11" i="96"/>
  <c r="AP11" i="96"/>
  <c r="M3" i="96" s="1"/>
  <c r="N9" i="7"/>
  <c r="B10" i="7" s="1"/>
  <c r="L5" i="7"/>
  <c r="L8" i="7"/>
  <c r="L7" i="7"/>
  <c r="L6" i="7"/>
  <c r="B46" i="8"/>
  <c r="H7" i="7"/>
  <c r="H8" i="7"/>
  <c r="L9" i="7" l="1"/>
  <c r="B9" i="7" s="1"/>
  <c r="J88" i="6"/>
  <c r="J86" i="6"/>
  <c r="J85" i="6"/>
  <c r="J40" i="6"/>
  <c r="J83" i="6"/>
  <c r="J82" i="6"/>
  <c r="J81" i="6"/>
  <c r="J80" i="6"/>
  <c r="J76" i="6"/>
  <c r="J75" i="6"/>
  <c r="J36" i="6"/>
  <c r="J71" i="6"/>
  <c r="J70" i="6"/>
  <c r="J69" i="6"/>
  <c r="J35" i="6"/>
  <c r="J67" i="6"/>
  <c r="J64" i="6"/>
  <c r="J34" i="6"/>
  <c r="J63" i="6"/>
  <c r="J62" i="6"/>
  <c r="J33" i="6"/>
  <c r="J61" i="6"/>
  <c r="J59" i="6"/>
  <c r="J58" i="6"/>
  <c r="M28" i="8" s="1"/>
  <c r="J56" i="6"/>
  <c r="J55" i="6"/>
  <c r="J53" i="6"/>
  <c r="J52" i="6"/>
  <c r="J49" i="6"/>
  <c r="J45" i="6"/>
  <c r="M27" i="8" s="1"/>
  <c r="W35" i="8" l="1"/>
  <c r="X31" i="8"/>
  <c r="V33" i="8" s="1"/>
  <c r="J6" i="8" s="1"/>
  <c r="AI14" i="8"/>
  <c r="V35" i="8" l="1"/>
  <c r="M8" i="8" s="1"/>
  <c r="K8" i="8"/>
  <c r="Y34" i="8"/>
  <c r="Z34" i="8"/>
  <c r="K7" i="8"/>
  <c r="AI11" i="8"/>
  <c r="I26" i="8"/>
  <c r="H26" i="8"/>
  <c r="G26" i="8"/>
  <c r="F26" i="8"/>
  <c r="E26" i="8"/>
  <c r="I25" i="8"/>
  <c r="H25" i="8"/>
  <c r="G25" i="8"/>
  <c r="F25" i="8"/>
  <c r="E25" i="8"/>
  <c r="I24" i="8"/>
  <c r="H24" i="8"/>
  <c r="G24" i="8"/>
  <c r="F24" i="8"/>
  <c r="E24" i="8"/>
  <c r="I23" i="8"/>
  <c r="H23" i="8"/>
  <c r="G23" i="8"/>
  <c r="F23" i="8"/>
  <c r="E23" i="8"/>
  <c r="I22" i="8"/>
  <c r="H22" i="8"/>
  <c r="G22" i="8"/>
  <c r="F22" i="8"/>
  <c r="E22" i="8"/>
  <c r="I21" i="8"/>
  <c r="H21" i="8"/>
  <c r="G21" i="8"/>
  <c r="F21" i="8"/>
  <c r="E21" i="8"/>
  <c r="I20" i="8"/>
  <c r="H20" i="8"/>
  <c r="G20" i="8"/>
  <c r="F20" i="8"/>
  <c r="E20" i="8"/>
  <c r="I19" i="8"/>
  <c r="H19" i="8"/>
  <c r="G19" i="8"/>
  <c r="F19" i="8"/>
  <c r="E19" i="8"/>
  <c r="I18" i="8"/>
  <c r="H18" i="8"/>
  <c r="G18" i="8"/>
  <c r="F18" i="8"/>
  <c r="E18" i="8"/>
  <c r="I17" i="8"/>
  <c r="H17" i="8"/>
  <c r="G17" i="8"/>
  <c r="F17" i="8"/>
  <c r="E17" i="8"/>
  <c r="I16" i="8"/>
  <c r="H16" i="8"/>
  <c r="G16" i="8"/>
  <c r="F16" i="8"/>
  <c r="E16" i="8"/>
  <c r="I15" i="8"/>
  <c r="H15" i="8"/>
  <c r="G15" i="8"/>
  <c r="F15" i="8"/>
  <c r="E15" i="8"/>
  <c r="I14" i="8"/>
  <c r="H14" i="8"/>
  <c r="G14" i="8"/>
  <c r="F14" i="8"/>
  <c r="E14" i="8"/>
  <c r="I13" i="8"/>
  <c r="H13" i="8"/>
  <c r="G13" i="8"/>
  <c r="F13" i="8"/>
  <c r="E13" i="8"/>
  <c r="I12" i="8"/>
  <c r="H12" i="8"/>
  <c r="G12" i="8"/>
  <c r="F12" i="8"/>
  <c r="E12" i="8"/>
  <c r="I11" i="8"/>
  <c r="H11" i="8"/>
  <c r="G11" i="8"/>
  <c r="F11" i="8"/>
  <c r="E11" i="8"/>
  <c r="J5" i="8" l="1"/>
  <c r="Y33" i="8"/>
  <c r="AR36" i="8"/>
  <c r="AS37" i="8" s="1"/>
  <c r="AI15" i="8"/>
  <c r="AR11" i="8"/>
  <c r="J8" i="8"/>
  <c r="M5" i="8"/>
  <c r="K5" i="8"/>
  <c r="AR37" i="8"/>
  <c r="AS38" i="8" s="1"/>
  <c r="AR41" i="8"/>
  <c r="AR32" i="8"/>
  <c r="AS33" i="8" s="1"/>
  <c r="AR39" i="8"/>
  <c r="AS40" i="8" s="1"/>
  <c r="AR30" i="8"/>
  <c r="AS31" i="8" s="1"/>
  <c r="AR34" i="8"/>
  <c r="AS35" i="8" s="1"/>
  <c r="AR40" i="8"/>
  <c r="AS41" i="8" s="1"/>
  <c r="AR31" i="8"/>
  <c r="AS32" i="8" s="1"/>
  <c r="AR35" i="8"/>
  <c r="AS36" i="8" s="1"/>
  <c r="AR38" i="8"/>
  <c r="AS39" i="8" s="1"/>
  <c r="AR29" i="8"/>
  <c r="AS30" i="8" s="1"/>
  <c r="AR33" i="8"/>
  <c r="AS34" i="8" s="1"/>
  <c r="AR26" i="8"/>
  <c r="AS27" i="8" s="1"/>
  <c r="AR22" i="8"/>
  <c r="AS23" i="8" s="1"/>
  <c r="AR18" i="8"/>
  <c r="AS19" i="8" s="1"/>
  <c r="AR14" i="8"/>
  <c r="AS15" i="8" s="1"/>
  <c r="AR24" i="8"/>
  <c r="AS25" i="8" s="1"/>
  <c r="AR20" i="8"/>
  <c r="AS21" i="8" s="1"/>
  <c r="AR12" i="8"/>
  <c r="AS13" i="8" s="1"/>
  <c r="AR23" i="8"/>
  <c r="AS24" i="8" s="1"/>
  <c r="AR19" i="8"/>
  <c r="AS20" i="8" s="1"/>
  <c r="AR25" i="8"/>
  <c r="AS26" i="8" s="1"/>
  <c r="AR21" i="8"/>
  <c r="AS22" i="8" s="1"/>
  <c r="AR17" i="8"/>
  <c r="AS18" i="8" s="1"/>
  <c r="AR13" i="8"/>
  <c r="AS14" i="8" s="1"/>
  <c r="AR28" i="8"/>
  <c r="AS29" i="8" s="1"/>
  <c r="AR16" i="8"/>
  <c r="AS17" i="8" s="1"/>
  <c r="AR27" i="8"/>
  <c r="AS28" i="8" s="1"/>
  <c r="AR15" i="8"/>
  <c r="AS16" i="8" s="1"/>
  <c r="J31" i="8"/>
  <c r="J34" i="8"/>
  <c r="AI18" i="8"/>
  <c r="AI17" i="8"/>
  <c r="AI16" i="8"/>
  <c r="AS12" i="8" l="1"/>
  <c r="AS11" i="8" s="1"/>
  <c r="M7" i="8" s="1"/>
  <c r="V28" i="8"/>
  <c r="V27" i="8"/>
  <c r="J4" i="8"/>
  <c r="AO40" i="8"/>
  <c r="AN40" i="8"/>
  <c r="AM40" i="8"/>
  <c r="AL40" i="8"/>
  <c r="AK40" i="8"/>
  <c r="AJ40" i="8"/>
  <c r="AI40" i="8"/>
  <c r="AH40" i="8"/>
  <c r="AG40" i="8"/>
  <c r="AF40" i="8"/>
  <c r="AE40" i="8"/>
  <c r="AD40" i="8"/>
  <c r="AC40" i="8"/>
  <c r="AB40" i="8"/>
  <c r="AA40" i="8"/>
  <c r="Z40" i="8"/>
  <c r="Y40" i="8"/>
  <c r="X40" i="8"/>
  <c r="W40" i="8"/>
  <c r="V40" i="8"/>
  <c r="U40" i="8"/>
  <c r="T40" i="8"/>
  <c r="S40" i="8"/>
  <c r="AC24" i="8" s="1"/>
  <c r="E40" i="8"/>
  <c r="E41" i="8"/>
  <c r="D31" i="8"/>
  <c r="E31" i="8" s="1"/>
  <c r="U26" i="8"/>
  <c r="J26" i="8" s="1"/>
  <c r="T26" i="8"/>
  <c r="AB26" i="8" s="1"/>
  <c r="S26" i="8"/>
  <c r="AA26" i="8" s="1"/>
  <c r="L26" i="8"/>
  <c r="U25" i="8"/>
  <c r="J25" i="8" s="1"/>
  <c r="T25" i="8"/>
  <c r="AB25" i="8" s="1"/>
  <c r="S25" i="8"/>
  <c r="AA25" i="8" s="1"/>
  <c r="L25" i="8"/>
  <c r="U24" i="8"/>
  <c r="J24" i="8" s="1"/>
  <c r="T24" i="8"/>
  <c r="AB24" i="8" s="1"/>
  <c r="S24" i="8"/>
  <c r="AA24" i="8" s="1"/>
  <c r="L24" i="8"/>
  <c r="U23" i="8"/>
  <c r="J23" i="8" s="1"/>
  <c r="T23" i="8"/>
  <c r="AB23" i="8" s="1"/>
  <c r="S23" i="8"/>
  <c r="AA23" i="8" s="1"/>
  <c r="L23" i="8"/>
  <c r="U22" i="8"/>
  <c r="J22" i="8" s="1"/>
  <c r="T22" i="8"/>
  <c r="S22" i="8"/>
  <c r="AA22" i="8" s="1"/>
  <c r="L22" i="8"/>
  <c r="U21" i="8"/>
  <c r="J21" i="8" s="1"/>
  <c r="T21" i="8"/>
  <c r="S21" i="8"/>
  <c r="AA21" i="8" s="1"/>
  <c r="L21" i="8"/>
  <c r="U20" i="8"/>
  <c r="J20" i="8" s="1"/>
  <c r="T20" i="8"/>
  <c r="S20" i="8"/>
  <c r="AA20" i="8" s="1"/>
  <c r="L20" i="8"/>
  <c r="U19" i="8"/>
  <c r="J19" i="8" s="1"/>
  <c r="T19" i="8"/>
  <c r="S19" i="8"/>
  <c r="AA19" i="8" s="1"/>
  <c r="AE19" i="8" s="1"/>
  <c r="L19" i="8"/>
  <c r="U18" i="8"/>
  <c r="J18" i="8" s="1"/>
  <c r="T18" i="8"/>
  <c r="S18" i="8"/>
  <c r="AA18" i="8" s="1"/>
  <c r="AE18" i="8" s="1"/>
  <c r="L18" i="8"/>
  <c r="U17" i="8"/>
  <c r="J17" i="8" s="1"/>
  <c r="T17" i="8"/>
  <c r="S17" i="8"/>
  <c r="L17" i="8"/>
  <c r="U16" i="8"/>
  <c r="J16" i="8" s="1"/>
  <c r="T16" i="8"/>
  <c r="S16" i="8"/>
  <c r="L16" i="8"/>
  <c r="U15" i="8"/>
  <c r="J15" i="8" s="1"/>
  <c r="T15" i="8"/>
  <c r="S15" i="8"/>
  <c r="L15" i="8"/>
  <c r="U14" i="8"/>
  <c r="J14" i="8" s="1"/>
  <c r="T14" i="8"/>
  <c r="AB14" i="8" s="1"/>
  <c r="S14" i="8"/>
  <c r="AA14" i="8" s="1"/>
  <c r="AE14" i="8" s="1"/>
  <c r="L14" i="8"/>
  <c r="U13" i="8"/>
  <c r="J13" i="8" s="1"/>
  <c r="T13" i="8"/>
  <c r="S13" i="8"/>
  <c r="L13" i="8"/>
  <c r="U12" i="8"/>
  <c r="T12" i="8"/>
  <c r="S12" i="8"/>
  <c r="L12" i="8"/>
  <c r="U11" i="8"/>
  <c r="T11" i="8"/>
  <c r="S11" i="8"/>
  <c r="L11" i="8"/>
  <c r="AI13" i="8"/>
  <c r="AI12" i="8"/>
  <c r="AK27" i="8" s="1"/>
  <c r="AI10" i="8"/>
  <c r="W18" i="8"/>
  <c r="W14" i="8"/>
  <c r="W19" i="8"/>
  <c r="J12" i="8" l="1"/>
  <c r="Y12" i="8" s="1"/>
  <c r="J11" i="8"/>
  <c r="Y19" i="8"/>
  <c r="Y16" i="8"/>
  <c r="Y18" i="8"/>
  <c r="Y17" i="8"/>
  <c r="Y15" i="8"/>
  <c r="Y14" i="8"/>
  <c r="Y13" i="8"/>
  <c r="AB16" i="8"/>
  <c r="AE16" i="8" s="1"/>
  <c r="AB18" i="8"/>
  <c r="AB19" i="8"/>
  <c r="AB20" i="8"/>
  <c r="AB21" i="8"/>
  <c r="AB22" i="8"/>
  <c r="AC15" i="8"/>
  <c r="AC19" i="8"/>
  <c r="AC21" i="8"/>
  <c r="AC11" i="8"/>
  <c r="AB13" i="8"/>
  <c r="AA15" i="8"/>
  <c r="AE15" i="8" s="1"/>
  <c r="AA17" i="8"/>
  <c r="AE17" i="8" s="1"/>
  <c r="AB17" i="8"/>
  <c r="AC23" i="8"/>
  <c r="AC25" i="8"/>
  <c r="AB11" i="8"/>
  <c r="AB15" i="8"/>
  <c r="AA16" i="8"/>
  <c r="AB12" i="8"/>
  <c r="AA11" i="8"/>
  <c r="AC14" i="8"/>
  <c r="AC18" i="8"/>
  <c r="AC22" i="8"/>
  <c r="AC26" i="8"/>
  <c r="AC13" i="8"/>
  <c r="AC17" i="8"/>
  <c r="AC12" i="8"/>
  <c r="AC16" i="8"/>
  <c r="AC20" i="8"/>
  <c r="AA12" i="8"/>
  <c r="AA13" i="8"/>
  <c r="AE13" i="8" s="1"/>
  <c r="C40" i="8"/>
  <c r="D38" i="8"/>
  <c r="D42" i="8"/>
  <c r="E42" i="8" s="1"/>
  <c r="AM27" i="8"/>
  <c r="AL27" i="8"/>
  <c r="AK25" i="8"/>
  <c r="AK13" i="8"/>
  <c r="AK15" i="8"/>
  <c r="AK17" i="8"/>
  <c r="AK19" i="8"/>
  <c r="AK21" i="8"/>
  <c r="AK23" i="8"/>
  <c r="AK26" i="8"/>
  <c r="AK24" i="8"/>
  <c r="AK12" i="8"/>
  <c r="AK14" i="8"/>
  <c r="AK16" i="8"/>
  <c r="AK18" i="8"/>
  <c r="AK20" i="8"/>
  <c r="AK22" i="8"/>
  <c r="W13" i="8"/>
  <c r="W15" i="8"/>
  <c r="W16" i="8"/>
  <c r="W17" i="8"/>
  <c r="Y11" i="8" l="1"/>
  <c r="AC32" i="8" s="1"/>
  <c r="M2" i="8" s="1"/>
  <c r="AE12" i="8"/>
  <c r="AF11" i="8"/>
  <c r="AE11" i="8"/>
  <c r="E38" i="8"/>
  <c r="E43" i="8" s="1"/>
  <c r="AM26" i="8"/>
  <c r="AL26" i="8"/>
  <c r="AM17" i="8"/>
  <c r="AL17" i="8"/>
  <c r="AM25" i="8"/>
  <c r="AL25" i="8"/>
  <c r="AL22" i="8"/>
  <c r="AM22" i="8"/>
  <c r="AL24" i="8"/>
  <c r="AM24" i="8"/>
  <c r="AM23" i="8"/>
  <c r="AL23" i="8"/>
  <c r="AM15" i="8"/>
  <c r="AL15" i="8"/>
  <c r="AL20" i="8"/>
  <c r="AM20" i="8"/>
  <c r="AL18" i="8"/>
  <c r="AM18" i="8"/>
  <c r="AM21" i="8"/>
  <c r="AL21" i="8"/>
  <c r="AM13" i="8"/>
  <c r="AL13" i="8"/>
  <c r="AO27" i="8"/>
  <c r="AN27" i="8"/>
  <c r="AM12" i="8"/>
  <c r="AL12" i="8"/>
  <c r="AM16" i="8"/>
  <c r="AL16" i="8"/>
  <c r="AM14" i="8"/>
  <c r="AL14" i="8"/>
  <c r="AM19" i="8"/>
  <c r="AL19" i="8"/>
  <c r="H5" i="7"/>
  <c r="W11" i="8"/>
  <c r="W12" i="8"/>
  <c r="X11" i="8"/>
  <c r="E30" i="8" l="1"/>
  <c r="V13" i="8"/>
  <c r="V17" i="8"/>
  <c r="V21" i="8"/>
  <c r="V25" i="8"/>
  <c r="V15" i="8"/>
  <c r="V19" i="8"/>
  <c r="V11" i="8"/>
  <c r="V16" i="8"/>
  <c r="V24" i="8"/>
  <c r="V14" i="8"/>
  <c r="V18" i="8"/>
  <c r="V22" i="8"/>
  <c r="V26" i="8"/>
  <c r="V23" i="8"/>
  <c r="V12" i="8"/>
  <c r="V20" i="8"/>
  <c r="K4" i="8"/>
  <c r="Z33" i="8"/>
  <c r="M4" i="8" s="1"/>
  <c r="AN12" i="8"/>
  <c r="AO12" i="8"/>
  <c r="AN16" i="8"/>
  <c r="AO16" i="8"/>
  <c r="AP16" i="8" s="1"/>
  <c r="AO13" i="8"/>
  <c r="AP13" i="8" s="1"/>
  <c r="AN13" i="8"/>
  <c r="AO15" i="8"/>
  <c r="AP15" i="8" s="1"/>
  <c r="AN15" i="8"/>
  <c r="AO25" i="8"/>
  <c r="AN25" i="8"/>
  <c r="AO22" i="8"/>
  <c r="AP22" i="8" s="1"/>
  <c r="AN22" i="8"/>
  <c r="AO20" i="8"/>
  <c r="AP20" i="8" s="1"/>
  <c r="AN20" i="8"/>
  <c r="AO21" i="8"/>
  <c r="AP21" i="8" s="1"/>
  <c r="AN21" i="8"/>
  <c r="AO23" i="8"/>
  <c r="AN23" i="8"/>
  <c r="AO17" i="8"/>
  <c r="AP17" i="8" s="1"/>
  <c r="AN17" i="8"/>
  <c r="AO19" i="8"/>
  <c r="AP19" i="8" s="1"/>
  <c r="AN19" i="8"/>
  <c r="AN26" i="8"/>
  <c r="AO26" i="8"/>
  <c r="AN14" i="8"/>
  <c r="AO14" i="8"/>
  <c r="AO18" i="8"/>
  <c r="AP18" i="8" s="1"/>
  <c r="AN18" i="8"/>
  <c r="AO24" i="8"/>
  <c r="AN24" i="8"/>
  <c r="AP14" i="8" l="1"/>
  <c r="AN11" i="8"/>
  <c r="M6" i="8" s="1"/>
  <c r="AO11" i="8"/>
  <c r="AP12" i="8"/>
  <c r="AP11" i="8" l="1"/>
  <c r="M3" i="8" s="1"/>
  <c r="N142" i="30" l="1"/>
  <c r="M142" i="30"/>
  <c r="L142" i="30"/>
  <c r="K142" i="30"/>
  <c r="J142" i="30"/>
  <c r="I142" i="30"/>
  <c r="H142" i="30"/>
  <c r="G142" i="30"/>
  <c r="F142" i="30"/>
  <c r="E142" i="30"/>
  <c r="D142" i="30"/>
  <c r="N141" i="30"/>
  <c r="M141" i="30"/>
  <c r="L141" i="30"/>
  <c r="K141" i="30"/>
  <c r="J141" i="30"/>
  <c r="I141" i="30"/>
  <c r="H141" i="30"/>
  <c r="G141" i="30"/>
  <c r="F141" i="30"/>
  <c r="E141" i="30"/>
  <c r="D141" i="30"/>
  <c r="N140" i="30"/>
  <c r="M140" i="30"/>
  <c r="L140" i="30"/>
  <c r="K140" i="30"/>
  <c r="J140" i="30"/>
  <c r="I140" i="30"/>
  <c r="H140" i="30"/>
  <c r="G140" i="30"/>
  <c r="F140" i="30"/>
  <c r="E140" i="30"/>
  <c r="D140" i="30"/>
  <c r="N139" i="30"/>
  <c r="M139" i="30"/>
  <c r="L139" i="30"/>
  <c r="K139" i="30"/>
  <c r="J139" i="30"/>
  <c r="I139" i="30"/>
  <c r="H139" i="30"/>
  <c r="G139" i="30"/>
  <c r="F139" i="30"/>
  <c r="E139" i="30"/>
  <c r="D139" i="30"/>
  <c r="D137" i="30"/>
  <c r="N143" i="30"/>
  <c r="J143" i="30"/>
  <c r="E143" i="30"/>
  <c r="D287" i="30"/>
  <c r="E287" i="30"/>
  <c r="F287" i="30"/>
  <c r="G287" i="30"/>
  <c r="H287" i="30"/>
  <c r="I287" i="30"/>
  <c r="J287" i="30"/>
  <c r="K287" i="30"/>
  <c r="L287" i="30"/>
  <c r="M287" i="30"/>
  <c r="N287" i="30"/>
  <c r="N286" i="30"/>
  <c r="M286" i="30"/>
  <c r="L286" i="30"/>
  <c r="K286" i="30"/>
  <c r="J286" i="30"/>
  <c r="I286" i="30"/>
  <c r="H286" i="30"/>
  <c r="G286" i="30"/>
  <c r="F286" i="30"/>
  <c r="E286" i="30"/>
  <c r="D286" i="30"/>
  <c r="D284" i="30"/>
  <c r="D110" i="30"/>
  <c r="E110" i="30"/>
  <c r="F110" i="30"/>
  <c r="G110" i="30"/>
  <c r="H110" i="30"/>
  <c r="I110" i="30"/>
  <c r="J110" i="30"/>
  <c r="K110" i="30"/>
  <c r="L110" i="30"/>
  <c r="M110" i="30"/>
  <c r="N110" i="30"/>
  <c r="D111" i="30"/>
  <c r="E111" i="30"/>
  <c r="F111" i="30"/>
  <c r="G111" i="30"/>
  <c r="H111" i="30"/>
  <c r="I111" i="30"/>
  <c r="J111" i="30"/>
  <c r="K111" i="30"/>
  <c r="L111" i="30"/>
  <c r="M111" i="30"/>
  <c r="N111" i="30"/>
  <c r="D112" i="30"/>
  <c r="E112" i="30"/>
  <c r="F112" i="30"/>
  <c r="G112" i="30"/>
  <c r="H112" i="30"/>
  <c r="I112" i="30"/>
  <c r="J112" i="30"/>
  <c r="K112" i="30"/>
  <c r="L112" i="30"/>
  <c r="M112" i="30"/>
  <c r="N112" i="30"/>
  <c r="N109" i="30"/>
  <c r="M109" i="30"/>
  <c r="L109" i="30"/>
  <c r="K109" i="30"/>
  <c r="J109" i="30"/>
  <c r="I109" i="30"/>
  <c r="H109" i="30"/>
  <c r="G109" i="30"/>
  <c r="F109" i="30"/>
  <c r="E109" i="30"/>
  <c r="D109" i="30"/>
  <c r="D107" i="30"/>
  <c r="N113" i="30"/>
  <c r="J113" i="30"/>
  <c r="E113" i="30"/>
  <c r="D34" i="30"/>
  <c r="E34" i="30"/>
  <c r="F34" i="30"/>
  <c r="G34" i="30"/>
  <c r="H34" i="30"/>
  <c r="I34" i="30"/>
  <c r="J34" i="30"/>
  <c r="K34" i="30"/>
  <c r="L34" i="30"/>
  <c r="M34" i="30"/>
  <c r="N34" i="30"/>
  <c r="D35" i="30"/>
  <c r="E35" i="30"/>
  <c r="F35" i="30"/>
  <c r="G35" i="30"/>
  <c r="H35" i="30"/>
  <c r="I35" i="30"/>
  <c r="J35" i="30"/>
  <c r="K35" i="30"/>
  <c r="L35" i="30"/>
  <c r="M35" i="30"/>
  <c r="N35" i="30"/>
  <c r="D36" i="30"/>
  <c r="E36" i="30"/>
  <c r="F36" i="30"/>
  <c r="G36" i="30"/>
  <c r="H36" i="30"/>
  <c r="I36" i="30"/>
  <c r="J36" i="30"/>
  <c r="K36" i="30"/>
  <c r="L36" i="30"/>
  <c r="M36" i="30"/>
  <c r="N36" i="30"/>
  <c r="N33" i="30"/>
  <c r="M33" i="30"/>
  <c r="L33" i="30"/>
  <c r="K33" i="30"/>
  <c r="J33" i="30"/>
  <c r="I33" i="30"/>
  <c r="H33" i="30"/>
  <c r="G33" i="30"/>
  <c r="F33" i="30"/>
  <c r="E33" i="30"/>
  <c r="D33" i="30"/>
  <c r="D31" i="30"/>
  <c r="N37" i="30"/>
  <c r="J37" i="30"/>
  <c r="E37" i="30"/>
  <c r="D6" i="30"/>
  <c r="E6" i="30"/>
  <c r="F6" i="30"/>
  <c r="G6" i="30"/>
  <c r="H6" i="30"/>
  <c r="I6" i="30"/>
  <c r="J6" i="30"/>
  <c r="K6" i="30"/>
  <c r="L6" i="30"/>
  <c r="M6" i="30"/>
  <c r="N6" i="30"/>
  <c r="D7" i="30"/>
  <c r="E7" i="30"/>
  <c r="F7" i="30"/>
  <c r="G7" i="30"/>
  <c r="H7" i="30"/>
  <c r="I7" i="30"/>
  <c r="J7" i="30"/>
  <c r="K7" i="30"/>
  <c r="L7" i="30"/>
  <c r="M7" i="30"/>
  <c r="N7" i="30"/>
  <c r="D8" i="30"/>
  <c r="E8" i="30"/>
  <c r="F8" i="30"/>
  <c r="G8" i="30"/>
  <c r="H8" i="30"/>
  <c r="I8" i="30"/>
  <c r="J8" i="30"/>
  <c r="K8" i="30"/>
  <c r="L8" i="30"/>
  <c r="M8" i="30"/>
  <c r="N8" i="30"/>
  <c r="N5" i="30"/>
  <c r="M5" i="30"/>
  <c r="L5" i="30"/>
  <c r="K5" i="30"/>
  <c r="J5" i="30"/>
  <c r="I5" i="30"/>
  <c r="H5" i="30"/>
  <c r="G5" i="30"/>
  <c r="F5" i="30"/>
  <c r="E5" i="30"/>
  <c r="D5" i="30"/>
  <c r="D3" i="30"/>
  <c r="N9" i="30"/>
  <c r="J9" i="30"/>
  <c r="E9" i="30"/>
  <c r="D297" i="30"/>
  <c r="E297" i="30"/>
  <c r="F297" i="30"/>
  <c r="G297" i="30"/>
  <c r="H297" i="30"/>
  <c r="I297" i="30"/>
  <c r="J297" i="30"/>
  <c r="K297" i="30"/>
  <c r="L297" i="30"/>
  <c r="M297" i="30"/>
  <c r="N297" i="30"/>
  <c r="D298" i="30"/>
  <c r="E298" i="30"/>
  <c r="F298" i="30"/>
  <c r="G298" i="30"/>
  <c r="H298" i="30"/>
  <c r="I298" i="30"/>
  <c r="J298" i="30"/>
  <c r="K298" i="30"/>
  <c r="L298" i="30"/>
  <c r="M298" i="30"/>
  <c r="N298" i="30"/>
  <c r="D299" i="30"/>
  <c r="E299" i="30"/>
  <c r="F299" i="30"/>
  <c r="G299" i="30"/>
  <c r="H299" i="30"/>
  <c r="I299" i="30"/>
  <c r="J299" i="30"/>
  <c r="K299" i="30"/>
  <c r="L299" i="30"/>
  <c r="M299" i="30"/>
  <c r="N299" i="30"/>
  <c r="D300" i="30"/>
  <c r="E300" i="30"/>
  <c r="F300" i="30"/>
  <c r="G300" i="30"/>
  <c r="H300" i="30"/>
  <c r="I300" i="30"/>
  <c r="J300" i="30"/>
  <c r="K300" i="30"/>
  <c r="L300" i="30"/>
  <c r="M300" i="30"/>
  <c r="N300" i="30"/>
  <c r="N296" i="30"/>
  <c r="M296" i="30"/>
  <c r="L296" i="30"/>
  <c r="K296" i="30"/>
  <c r="J296" i="30"/>
  <c r="I296" i="30"/>
  <c r="H296" i="30"/>
  <c r="G296" i="30"/>
  <c r="F296" i="30"/>
  <c r="E296" i="30"/>
  <c r="D296" i="30"/>
  <c r="D294" i="30"/>
  <c r="N301" i="30"/>
  <c r="J301" i="30"/>
  <c r="E301" i="30"/>
  <c r="D273" i="30"/>
  <c r="E273" i="30"/>
  <c r="F273" i="30"/>
  <c r="G273" i="30"/>
  <c r="H273" i="30"/>
  <c r="I273" i="30"/>
  <c r="J273" i="30"/>
  <c r="K273" i="30"/>
  <c r="L273" i="30"/>
  <c r="M273" i="30"/>
  <c r="N273" i="30"/>
  <c r="D274" i="30"/>
  <c r="E274" i="30"/>
  <c r="F274" i="30"/>
  <c r="G274" i="30"/>
  <c r="H274" i="30"/>
  <c r="I274" i="30"/>
  <c r="J274" i="30"/>
  <c r="K274" i="30"/>
  <c r="L274" i="30"/>
  <c r="M274" i="30"/>
  <c r="N274" i="30"/>
  <c r="D275" i="30"/>
  <c r="E275" i="30"/>
  <c r="F275" i="30"/>
  <c r="G275" i="30"/>
  <c r="H275" i="30"/>
  <c r="I275" i="30"/>
  <c r="J275" i="30"/>
  <c r="K275" i="30"/>
  <c r="L275" i="30"/>
  <c r="M275" i="30"/>
  <c r="N275" i="30"/>
  <c r="D276" i="30"/>
  <c r="E276" i="30"/>
  <c r="F276" i="30"/>
  <c r="G276" i="30"/>
  <c r="H276" i="30"/>
  <c r="I276" i="30"/>
  <c r="J276" i="30"/>
  <c r="K276" i="30"/>
  <c r="L276" i="30"/>
  <c r="M276" i="30"/>
  <c r="N276" i="30"/>
  <c r="D277" i="30"/>
  <c r="E277" i="30"/>
  <c r="F277" i="30"/>
  <c r="G277" i="30"/>
  <c r="H277" i="30"/>
  <c r="I277" i="30"/>
  <c r="J277" i="30"/>
  <c r="K277" i="30"/>
  <c r="L277" i="30"/>
  <c r="M277" i="30"/>
  <c r="N277" i="30"/>
  <c r="D278" i="30"/>
  <c r="E278" i="30"/>
  <c r="F278" i="30"/>
  <c r="G278" i="30"/>
  <c r="H278" i="30"/>
  <c r="I278" i="30"/>
  <c r="J278" i="30"/>
  <c r="K278" i="30"/>
  <c r="L278" i="30"/>
  <c r="M278" i="30"/>
  <c r="N278" i="30"/>
  <c r="D279" i="30"/>
  <c r="E279" i="30"/>
  <c r="F279" i="30"/>
  <c r="G279" i="30"/>
  <c r="H279" i="30"/>
  <c r="I279" i="30"/>
  <c r="J279" i="30"/>
  <c r="K279" i="30"/>
  <c r="L279" i="30"/>
  <c r="M279" i="30"/>
  <c r="N279" i="30"/>
  <c r="N272" i="30"/>
  <c r="M272" i="30"/>
  <c r="L272" i="30"/>
  <c r="K272" i="30"/>
  <c r="J272" i="30"/>
  <c r="I272" i="30"/>
  <c r="H272" i="30"/>
  <c r="G272" i="30"/>
  <c r="F272" i="30"/>
  <c r="E272" i="30"/>
  <c r="D272" i="30"/>
  <c r="D270" i="30"/>
  <c r="N280" i="30"/>
  <c r="J280" i="30"/>
  <c r="E280" i="30"/>
  <c r="N253" i="30"/>
  <c r="N254" i="30"/>
  <c r="N255" i="30"/>
  <c r="N256" i="30"/>
  <c r="N257" i="30"/>
  <c r="N252" i="30"/>
  <c r="N243" i="30"/>
  <c r="N244" i="30"/>
  <c r="N245" i="30"/>
  <c r="N246" i="30"/>
  <c r="N242" i="30"/>
  <c r="N224" i="30"/>
  <c r="N225" i="30"/>
  <c r="N226" i="30"/>
  <c r="N227" i="30"/>
  <c r="N223" i="30"/>
  <c r="N213" i="30"/>
  <c r="N214" i="30"/>
  <c r="N215" i="30"/>
  <c r="N216" i="30"/>
  <c r="N217" i="30"/>
  <c r="N212" i="30"/>
  <c r="N196" i="30"/>
  <c r="N197" i="30"/>
  <c r="N198" i="30"/>
  <c r="N199" i="30"/>
  <c r="N200" i="30"/>
  <c r="N201" i="30"/>
  <c r="N202" i="30"/>
  <c r="N203" i="30"/>
  <c r="N204" i="30"/>
  <c r="N205" i="30"/>
  <c r="N195" i="30"/>
  <c r="N188" i="30"/>
  <c r="N189" i="30"/>
  <c r="N187" i="30"/>
  <c r="N179" i="30"/>
  <c r="N180" i="30"/>
  <c r="N181" i="30"/>
  <c r="N178" i="30"/>
  <c r="N158" i="30"/>
  <c r="N159" i="30"/>
  <c r="N160" i="30"/>
  <c r="N161" i="30"/>
  <c r="N157" i="30"/>
  <c r="N149" i="30"/>
  <c r="N150" i="30"/>
  <c r="N151" i="30"/>
  <c r="N148" i="30"/>
  <c r="N130" i="30"/>
  <c r="N131" i="30"/>
  <c r="N132" i="30"/>
  <c r="N133" i="30"/>
  <c r="N129" i="30"/>
  <c r="N119" i="30"/>
  <c r="N120" i="30"/>
  <c r="N121" i="30"/>
  <c r="N122" i="30"/>
  <c r="N123" i="30"/>
  <c r="N118" i="30"/>
  <c r="N101" i="30"/>
  <c r="N102" i="30"/>
  <c r="N103" i="30"/>
  <c r="N100" i="30"/>
  <c r="N88" i="30"/>
  <c r="N89" i="30"/>
  <c r="N90" i="30"/>
  <c r="N91" i="30"/>
  <c r="N92" i="30"/>
  <c r="N93" i="30"/>
  <c r="N94" i="30"/>
  <c r="N87" i="30"/>
  <c r="N79" i="30"/>
  <c r="N80" i="30"/>
  <c r="N81" i="30"/>
  <c r="N78" i="30"/>
  <c r="N69" i="30"/>
  <c r="N70" i="30"/>
  <c r="N71" i="30"/>
  <c r="N72" i="30"/>
  <c r="N68" i="30"/>
  <c r="N59" i="30"/>
  <c r="N60" i="30"/>
  <c r="N61" i="30"/>
  <c r="N62" i="30"/>
  <c r="N58" i="30"/>
  <c r="N43" i="30"/>
  <c r="N44" i="30"/>
  <c r="N45" i="30"/>
  <c r="N46" i="30"/>
  <c r="N47" i="30"/>
  <c r="N48" i="30"/>
  <c r="N49" i="30"/>
  <c r="N50" i="30"/>
  <c r="N51" i="30"/>
  <c r="N42" i="30"/>
  <c r="N23" i="30"/>
  <c r="N24" i="30"/>
  <c r="N25" i="30"/>
  <c r="N26" i="30"/>
  <c r="N22" i="30"/>
  <c r="N15" i="30"/>
  <c r="N16" i="30"/>
  <c r="N14" i="30"/>
  <c r="D253" i="30"/>
  <c r="E253" i="30"/>
  <c r="F253" i="30"/>
  <c r="G253" i="30"/>
  <c r="H253" i="30"/>
  <c r="I253" i="30"/>
  <c r="J253" i="30"/>
  <c r="K253" i="30"/>
  <c r="L253" i="30"/>
  <c r="M253" i="30"/>
  <c r="D254" i="30"/>
  <c r="E254" i="30"/>
  <c r="F254" i="30"/>
  <c r="G254" i="30"/>
  <c r="H254" i="30"/>
  <c r="I254" i="30"/>
  <c r="J254" i="30"/>
  <c r="K254" i="30"/>
  <c r="L254" i="30"/>
  <c r="M254" i="30"/>
  <c r="D255" i="30"/>
  <c r="E255" i="30"/>
  <c r="F255" i="30"/>
  <c r="G255" i="30"/>
  <c r="H255" i="30"/>
  <c r="I255" i="30"/>
  <c r="J255" i="30"/>
  <c r="K255" i="30"/>
  <c r="L255" i="30"/>
  <c r="M255" i="30"/>
  <c r="D256" i="30"/>
  <c r="E256" i="30"/>
  <c r="F256" i="30"/>
  <c r="G256" i="30"/>
  <c r="H256" i="30"/>
  <c r="I256" i="30"/>
  <c r="J256" i="30"/>
  <c r="K256" i="30"/>
  <c r="L256" i="30"/>
  <c r="M256" i="30"/>
  <c r="D257" i="30"/>
  <c r="E257" i="30"/>
  <c r="F257" i="30"/>
  <c r="G257" i="30"/>
  <c r="H257" i="30"/>
  <c r="I257" i="30"/>
  <c r="J257" i="30"/>
  <c r="K257" i="30"/>
  <c r="L257" i="30"/>
  <c r="M257" i="30"/>
  <c r="M252" i="30"/>
  <c r="L252" i="30"/>
  <c r="K252" i="30"/>
  <c r="J252" i="30"/>
  <c r="I252" i="30"/>
  <c r="H252" i="30"/>
  <c r="G252" i="30"/>
  <c r="F252" i="30"/>
  <c r="E252" i="30"/>
  <c r="D252" i="30"/>
  <c r="D250" i="30"/>
  <c r="N258" i="30"/>
  <c r="J258" i="30"/>
  <c r="E258" i="30"/>
  <c r="D243" i="30"/>
  <c r="E243" i="30"/>
  <c r="F243" i="30"/>
  <c r="G243" i="30"/>
  <c r="H243" i="30"/>
  <c r="I243" i="30"/>
  <c r="J243" i="30"/>
  <c r="K243" i="30"/>
  <c r="L243" i="30"/>
  <c r="M243" i="30"/>
  <c r="D244" i="30"/>
  <c r="E244" i="30"/>
  <c r="F244" i="30"/>
  <c r="G244" i="30"/>
  <c r="H244" i="30"/>
  <c r="I244" i="30"/>
  <c r="J244" i="30"/>
  <c r="K244" i="30"/>
  <c r="L244" i="30"/>
  <c r="M244" i="30"/>
  <c r="D245" i="30"/>
  <c r="E245" i="30"/>
  <c r="F245" i="30"/>
  <c r="G245" i="30"/>
  <c r="H245" i="30"/>
  <c r="I245" i="30"/>
  <c r="J245" i="30"/>
  <c r="K245" i="30"/>
  <c r="L245" i="30"/>
  <c r="M245" i="30"/>
  <c r="D246" i="30"/>
  <c r="E246" i="30"/>
  <c r="F246" i="30"/>
  <c r="G246" i="30"/>
  <c r="H246" i="30"/>
  <c r="I246" i="30"/>
  <c r="J246" i="30"/>
  <c r="K246" i="30"/>
  <c r="L246" i="30"/>
  <c r="M246" i="30"/>
  <c r="M242" i="30"/>
  <c r="L242" i="30"/>
  <c r="K242" i="30"/>
  <c r="J242" i="30"/>
  <c r="I242" i="30"/>
  <c r="H242" i="30"/>
  <c r="G242" i="30"/>
  <c r="F242" i="30"/>
  <c r="E242" i="30"/>
  <c r="D242" i="30"/>
  <c r="D240" i="30"/>
  <c r="N247" i="30"/>
  <c r="J247" i="30"/>
  <c r="E247" i="30"/>
  <c r="I224" i="30"/>
  <c r="I225" i="30"/>
  <c r="I226" i="30"/>
  <c r="I227" i="30"/>
  <c r="I223" i="30"/>
  <c r="I213" i="30"/>
  <c r="I214" i="30"/>
  <c r="I215" i="30"/>
  <c r="I216" i="30"/>
  <c r="I217" i="30"/>
  <c r="I212" i="30"/>
  <c r="I196" i="30"/>
  <c r="I197" i="30"/>
  <c r="I198" i="30"/>
  <c r="I199" i="30"/>
  <c r="I200" i="30"/>
  <c r="I201" i="30"/>
  <c r="I202" i="30"/>
  <c r="I203" i="30"/>
  <c r="I204" i="30"/>
  <c r="I205" i="30"/>
  <c r="I195" i="30"/>
  <c r="I188" i="30"/>
  <c r="I189" i="30"/>
  <c r="I187" i="30"/>
  <c r="I179" i="30"/>
  <c r="I180" i="30"/>
  <c r="I181" i="30"/>
  <c r="I178" i="30"/>
  <c r="I158" i="30"/>
  <c r="I159" i="30"/>
  <c r="I160" i="30"/>
  <c r="I161" i="30"/>
  <c r="I157" i="30"/>
  <c r="I149" i="30"/>
  <c r="I150" i="30"/>
  <c r="I151" i="30"/>
  <c r="I148" i="30"/>
  <c r="I130" i="30"/>
  <c r="I131" i="30"/>
  <c r="I132" i="30"/>
  <c r="I133" i="30"/>
  <c r="I129" i="30"/>
  <c r="I119" i="30"/>
  <c r="I120" i="30"/>
  <c r="I121" i="30"/>
  <c r="I122" i="30"/>
  <c r="I123" i="30"/>
  <c r="I118" i="30"/>
  <c r="I101" i="30"/>
  <c r="I102" i="30"/>
  <c r="I103" i="30"/>
  <c r="I100" i="30"/>
  <c r="I88" i="30"/>
  <c r="I89" i="30"/>
  <c r="I90" i="30"/>
  <c r="I91" i="30"/>
  <c r="I92" i="30"/>
  <c r="I93" i="30"/>
  <c r="I94" i="30"/>
  <c r="I87" i="30"/>
  <c r="I79" i="30"/>
  <c r="I80" i="30"/>
  <c r="I81" i="30"/>
  <c r="I78" i="30"/>
  <c r="I69" i="30"/>
  <c r="I70" i="30"/>
  <c r="I71" i="30"/>
  <c r="I72" i="30"/>
  <c r="I68" i="30"/>
  <c r="I59" i="30"/>
  <c r="I60" i="30"/>
  <c r="I61" i="30"/>
  <c r="I62" i="30"/>
  <c r="I58" i="30"/>
  <c r="I43" i="30"/>
  <c r="I44" i="30"/>
  <c r="I45" i="30"/>
  <c r="I46" i="30"/>
  <c r="I47" i="30"/>
  <c r="I48" i="30"/>
  <c r="I49" i="30"/>
  <c r="I50" i="30"/>
  <c r="I51" i="30"/>
  <c r="I42" i="30"/>
  <c r="I23" i="30"/>
  <c r="I24" i="30"/>
  <c r="I25" i="30"/>
  <c r="I26" i="30"/>
  <c r="I22" i="30"/>
  <c r="I15" i="30"/>
  <c r="I16" i="30"/>
  <c r="I14" i="30"/>
  <c r="J14" i="30"/>
  <c r="D224" i="30"/>
  <c r="E224" i="30"/>
  <c r="F224" i="30"/>
  <c r="G224" i="30"/>
  <c r="H224" i="30"/>
  <c r="J224" i="30"/>
  <c r="K224" i="30"/>
  <c r="L224" i="30"/>
  <c r="M224" i="30"/>
  <c r="D225" i="30"/>
  <c r="E225" i="30"/>
  <c r="F225" i="30"/>
  <c r="G225" i="30"/>
  <c r="H225" i="30"/>
  <c r="J225" i="30"/>
  <c r="K225" i="30"/>
  <c r="L225" i="30"/>
  <c r="M225" i="30"/>
  <c r="D226" i="30"/>
  <c r="E226" i="30"/>
  <c r="F226" i="30"/>
  <c r="G226" i="30"/>
  <c r="H226" i="30"/>
  <c r="J226" i="30"/>
  <c r="K226" i="30"/>
  <c r="L226" i="30"/>
  <c r="M226" i="30"/>
  <c r="D227" i="30"/>
  <c r="E227" i="30"/>
  <c r="F227" i="30"/>
  <c r="G227" i="30"/>
  <c r="H227" i="30"/>
  <c r="J227" i="30"/>
  <c r="K227" i="30"/>
  <c r="L227" i="30"/>
  <c r="M227" i="30"/>
  <c r="M223" i="30"/>
  <c r="L223" i="30"/>
  <c r="K223" i="30"/>
  <c r="J223" i="30"/>
  <c r="H223" i="30"/>
  <c r="G223" i="30"/>
  <c r="F223" i="30"/>
  <c r="E223" i="30"/>
  <c r="D223" i="30"/>
  <c r="D221" i="30"/>
  <c r="N228" i="30"/>
  <c r="J228" i="30"/>
  <c r="E228" i="30"/>
  <c r="D213" i="30"/>
  <c r="E213" i="30"/>
  <c r="F213" i="30"/>
  <c r="G213" i="30"/>
  <c r="H213" i="30"/>
  <c r="J213" i="30"/>
  <c r="K213" i="30"/>
  <c r="L213" i="30"/>
  <c r="M213" i="30"/>
  <c r="D214" i="30"/>
  <c r="E214" i="30"/>
  <c r="F214" i="30"/>
  <c r="G214" i="30"/>
  <c r="H214" i="30"/>
  <c r="J214" i="30"/>
  <c r="K214" i="30"/>
  <c r="L214" i="30"/>
  <c r="M214" i="30"/>
  <c r="D215" i="30"/>
  <c r="E215" i="30"/>
  <c r="F215" i="30"/>
  <c r="G215" i="30"/>
  <c r="H215" i="30"/>
  <c r="J215" i="30"/>
  <c r="K215" i="30"/>
  <c r="L215" i="30"/>
  <c r="M215" i="30"/>
  <c r="D216" i="30"/>
  <c r="E216" i="30"/>
  <c r="F216" i="30"/>
  <c r="G216" i="30"/>
  <c r="H216" i="30"/>
  <c r="J216" i="30"/>
  <c r="K216" i="30"/>
  <c r="L216" i="30"/>
  <c r="M216" i="30"/>
  <c r="D217" i="30"/>
  <c r="E217" i="30"/>
  <c r="F217" i="30"/>
  <c r="G217" i="30"/>
  <c r="H217" i="30"/>
  <c r="J217" i="30"/>
  <c r="K217" i="30"/>
  <c r="L217" i="30"/>
  <c r="M217" i="30"/>
  <c r="M212" i="30"/>
  <c r="L212" i="30"/>
  <c r="K212" i="30"/>
  <c r="J212" i="30"/>
  <c r="H212" i="30"/>
  <c r="G212" i="30"/>
  <c r="F212" i="30"/>
  <c r="E212" i="30"/>
  <c r="D212" i="30"/>
  <c r="D210" i="30"/>
  <c r="N218" i="30"/>
  <c r="J218" i="30"/>
  <c r="E218" i="30"/>
  <c r="D196" i="30"/>
  <c r="E196" i="30"/>
  <c r="F196" i="30"/>
  <c r="G196" i="30"/>
  <c r="H196" i="30"/>
  <c r="J196" i="30"/>
  <c r="K196" i="30"/>
  <c r="L196" i="30"/>
  <c r="M196" i="30"/>
  <c r="D197" i="30"/>
  <c r="E197" i="30"/>
  <c r="F197" i="30"/>
  <c r="G197" i="30"/>
  <c r="H197" i="30"/>
  <c r="J197" i="30"/>
  <c r="K197" i="30"/>
  <c r="L197" i="30"/>
  <c r="M197" i="30"/>
  <c r="D198" i="30"/>
  <c r="E198" i="30"/>
  <c r="F198" i="30"/>
  <c r="G198" i="30"/>
  <c r="H198" i="30"/>
  <c r="J198" i="30"/>
  <c r="K198" i="30"/>
  <c r="L198" i="30"/>
  <c r="M198" i="30"/>
  <c r="D199" i="30"/>
  <c r="E199" i="30"/>
  <c r="F199" i="30"/>
  <c r="G199" i="30"/>
  <c r="H199" i="30"/>
  <c r="J199" i="30"/>
  <c r="K199" i="30"/>
  <c r="L199" i="30"/>
  <c r="M199" i="30"/>
  <c r="D200" i="30"/>
  <c r="E200" i="30"/>
  <c r="F200" i="30"/>
  <c r="G200" i="30"/>
  <c r="H200" i="30"/>
  <c r="J200" i="30"/>
  <c r="K200" i="30"/>
  <c r="L200" i="30"/>
  <c r="M200" i="30"/>
  <c r="D201" i="30"/>
  <c r="E201" i="30"/>
  <c r="F201" i="30"/>
  <c r="G201" i="30"/>
  <c r="H201" i="30"/>
  <c r="J201" i="30"/>
  <c r="K201" i="30"/>
  <c r="L201" i="30"/>
  <c r="M201" i="30"/>
  <c r="D202" i="30"/>
  <c r="E202" i="30"/>
  <c r="F202" i="30"/>
  <c r="G202" i="30"/>
  <c r="H202" i="30"/>
  <c r="J202" i="30"/>
  <c r="K202" i="30"/>
  <c r="L202" i="30"/>
  <c r="M202" i="30"/>
  <c r="D203" i="30"/>
  <c r="E203" i="30"/>
  <c r="F203" i="30"/>
  <c r="G203" i="30"/>
  <c r="H203" i="30"/>
  <c r="J203" i="30"/>
  <c r="K203" i="30"/>
  <c r="L203" i="30"/>
  <c r="M203" i="30"/>
  <c r="D204" i="30"/>
  <c r="E204" i="30"/>
  <c r="F204" i="30"/>
  <c r="G204" i="30"/>
  <c r="H204" i="30"/>
  <c r="J204" i="30"/>
  <c r="K204" i="30"/>
  <c r="L204" i="30"/>
  <c r="M204" i="30"/>
  <c r="D205" i="30"/>
  <c r="E205" i="30"/>
  <c r="F205" i="30"/>
  <c r="G205" i="30"/>
  <c r="H205" i="30"/>
  <c r="J205" i="30"/>
  <c r="K205" i="30"/>
  <c r="L205" i="30"/>
  <c r="M205" i="30"/>
  <c r="M195" i="30"/>
  <c r="L195" i="30"/>
  <c r="K195" i="30"/>
  <c r="J195" i="30"/>
  <c r="H195" i="30"/>
  <c r="G195" i="30"/>
  <c r="F195" i="30"/>
  <c r="E195" i="30"/>
  <c r="D195" i="30"/>
  <c r="N206" i="30"/>
  <c r="J206" i="30"/>
  <c r="E206" i="30"/>
  <c r="D188" i="30"/>
  <c r="E188" i="30"/>
  <c r="F188" i="30"/>
  <c r="G188" i="30"/>
  <c r="H188" i="30"/>
  <c r="J188" i="30"/>
  <c r="K188" i="30"/>
  <c r="L188" i="30"/>
  <c r="M188" i="30"/>
  <c r="D189" i="30"/>
  <c r="E189" i="30"/>
  <c r="F189" i="30"/>
  <c r="G189" i="30"/>
  <c r="H189" i="30"/>
  <c r="J189" i="30"/>
  <c r="K189" i="30"/>
  <c r="L189" i="30"/>
  <c r="M189" i="30"/>
  <c r="M187" i="30"/>
  <c r="L187" i="30"/>
  <c r="K187" i="30"/>
  <c r="J187" i="30"/>
  <c r="H187" i="30"/>
  <c r="G187" i="30"/>
  <c r="F187" i="30"/>
  <c r="E187" i="30"/>
  <c r="D187" i="30"/>
  <c r="D185" i="30"/>
  <c r="N190" i="30"/>
  <c r="J190" i="30"/>
  <c r="E190" i="30"/>
  <c r="D179" i="30"/>
  <c r="E179" i="30"/>
  <c r="F179" i="30"/>
  <c r="G179" i="30"/>
  <c r="H179" i="30"/>
  <c r="J179" i="30"/>
  <c r="K179" i="30"/>
  <c r="L179" i="30"/>
  <c r="M179" i="30"/>
  <c r="D180" i="30"/>
  <c r="E180" i="30"/>
  <c r="F180" i="30"/>
  <c r="G180" i="30"/>
  <c r="H180" i="30"/>
  <c r="J180" i="30"/>
  <c r="K180" i="30"/>
  <c r="L180" i="30"/>
  <c r="M180" i="30"/>
  <c r="D181" i="30"/>
  <c r="E181" i="30"/>
  <c r="F181" i="30"/>
  <c r="G181" i="30"/>
  <c r="H181" i="30"/>
  <c r="J181" i="30"/>
  <c r="K181" i="30"/>
  <c r="L181" i="30"/>
  <c r="M181" i="30"/>
  <c r="M178" i="30"/>
  <c r="L178" i="30"/>
  <c r="K178" i="30"/>
  <c r="J178" i="30"/>
  <c r="H178" i="30"/>
  <c r="G178" i="30"/>
  <c r="F178" i="30"/>
  <c r="E178" i="30"/>
  <c r="D178" i="30"/>
  <c r="D176" i="30"/>
  <c r="N182" i="30"/>
  <c r="J182" i="30"/>
  <c r="E182" i="30"/>
  <c r="D158" i="30"/>
  <c r="E158" i="30"/>
  <c r="F158" i="30"/>
  <c r="G158" i="30"/>
  <c r="H158" i="30"/>
  <c r="J158" i="30"/>
  <c r="K158" i="30"/>
  <c r="L158" i="30"/>
  <c r="M158" i="30"/>
  <c r="D159" i="30"/>
  <c r="E159" i="30"/>
  <c r="F159" i="30"/>
  <c r="G159" i="30"/>
  <c r="H159" i="30"/>
  <c r="J159" i="30"/>
  <c r="K159" i="30"/>
  <c r="L159" i="30"/>
  <c r="M159" i="30"/>
  <c r="D160" i="30"/>
  <c r="E160" i="30"/>
  <c r="F160" i="30"/>
  <c r="G160" i="30"/>
  <c r="H160" i="30"/>
  <c r="J160" i="30"/>
  <c r="K160" i="30"/>
  <c r="L160" i="30"/>
  <c r="M160" i="30"/>
  <c r="D161" i="30"/>
  <c r="E161" i="30"/>
  <c r="F161" i="30"/>
  <c r="G161" i="30"/>
  <c r="H161" i="30"/>
  <c r="J161" i="30"/>
  <c r="K161" i="30"/>
  <c r="L161" i="30"/>
  <c r="M161" i="30"/>
  <c r="M157" i="30"/>
  <c r="L157" i="30"/>
  <c r="K157" i="30"/>
  <c r="J157" i="30"/>
  <c r="H157" i="30"/>
  <c r="G157" i="30"/>
  <c r="F157" i="30"/>
  <c r="E157" i="30"/>
  <c r="D157" i="30"/>
  <c r="D155" i="30"/>
  <c r="N162" i="30"/>
  <c r="J162" i="30"/>
  <c r="E162" i="30"/>
  <c r="D149" i="30"/>
  <c r="E149" i="30"/>
  <c r="F149" i="30"/>
  <c r="G149" i="30"/>
  <c r="H149" i="30"/>
  <c r="J149" i="30"/>
  <c r="K149" i="30"/>
  <c r="L149" i="30"/>
  <c r="M149" i="30"/>
  <c r="D150" i="30"/>
  <c r="E150" i="30"/>
  <c r="F150" i="30"/>
  <c r="G150" i="30"/>
  <c r="H150" i="30"/>
  <c r="J150" i="30"/>
  <c r="K150" i="30"/>
  <c r="L150" i="30"/>
  <c r="M150" i="30"/>
  <c r="D151" i="30"/>
  <c r="E151" i="30"/>
  <c r="F151" i="30"/>
  <c r="G151" i="30"/>
  <c r="H151" i="30"/>
  <c r="J151" i="30"/>
  <c r="K151" i="30"/>
  <c r="L151" i="30"/>
  <c r="M151" i="30"/>
  <c r="M148" i="30"/>
  <c r="L148" i="30"/>
  <c r="K148" i="30"/>
  <c r="J148" i="30"/>
  <c r="H148" i="30"/>
  <c r="G148" i="30"/>
  <c r="F148" i="30"/>
  <c r="E148" i="30"/>
  <c r="D148" i="30"/>
  <c r="D146" i="30"/>
  <c r="N152" i="30"/>
  <c r="J152" i="30"/>
  <c r="E152" i="30"/>
  <c r="D130" i="30"/>
  <c r="E130" i="30"/>
  <c r="F130" i="30"/>
  <c r="G130" i="30"/>
  <c r="H130" i="30"/>
  <c r="J130" i="30"/>
  <c r="K130" i="30"/>
  <c r="L130" i="30"/>
  <c r="M130" i="30"/>
  <c r="D131" i="30"/>
  <c r="E131" i="30"/>
  <c r="F131" i="30"/>
  <c r="G131" i="30"/>
  <c r="H131" i="30"/>
  <c r="J131" i="30"/>
  <c r="K131" i="30"/>
  <c r="L131" i="30"/>
  <c r="M131" i="30"/>
  <c r="D132" i="30"/>
  <c r="E132" i="30"/>
  <c r="F132" i="30"/>
  <c r="G132" i="30"/>
  <c r="H132" i="30"/>
  <c r="J132" i="30"/>
  <c r="K132" i="30"/>
  <c r="L132" i="30"/>
  <c r="M132" i="30"/>
  <c r="D133" i="30"/>
  <c r="E133" i="30"/>
  <c r="F133" i="30"/>
  <c r="G133" i="30"/>
  <c r="H133" i="30"/>
  <c r="J133" i="30"/>
  <c r="K133" i="30"/>
  <c r="L133" i="30"/>
  <c r="M133" i="30"/>
  <c r="M129" i="30"/>
  <c r="L129" i="30"/>
  <c r="K129" i="30"/>
  <c r="J129" i="30"/>
  <c r="H129" i="30"/>
  <c r="G129" i="30"/>
  <c r="F129" i="30"/>
  <c r="E129" i="30"/>
  <c r="D129" i="30"/>
  <c r="D127" i="30"/>
  <c r="N134" i="30"/>
  <c r="J134" i="30"/>
  <c r="E134" i="30"/>
  <c r="D119" i="30"/>
  <c r="E119" i="30"/>
  <c r="F119" i="30"/>
  <c r="G119" i="30"/>
  <c r="H119" i="30"/>
  <c r="J119" i="30"/>
  <c r="K119" i="30"/>
  <c r="L119" i="30"/>
  <c r="M119" i="30"/>
  <c r="D120" i="30"/>
  <c r="E120" i="30"/>
  <c r="F120" i="30"/>
  <c r="G120" i="30"/>
  <c r="H120" i="30"/>
  <c r="J120" i="30"/>
  <c r="K120" i="30"/>
  <c r="L120" i="30"/>
  <c r="M120" i="30"/>
  <c r="D121" i="30"/>
  <c r="E121" i="30"/>
  <c r="F121" i="30"/>
  <c r="G121" i="30"/>
  <c r="H121" i="30"/>
  <c r="J121" i="30"/>
  <c r="K121" i="30"/>
  <c r="L121" i="30"/>
  <c r="M121" i="30"/>
  <c r="D122" i="30"/>
  <c r="E122" i="30"/>
  <c r="F122" i="30"/>
  <c r="G122" i="30"/>
  <c r="H122" i="30"/>
  <c r="J122" i="30"/>
  <c r="K122" i="30"/>
  <c r="L122" i="30"/>
  <c r="M122" i="30"/>
  <c r="D123" i="30"/>
  <c r="E123" i="30"/>
  <c r="F123" i="30"/>
  <c r="G123" i="30"/>
  <c r="H123" i="30"/>
  <c r="J123" i="30"/>
  <c r="K123" i="30"/>
  <c r="L123" i="30"/>
  <c r="M123" i="30"/>
  <c r="M118" i="30"/>
  <c r="L118" i="30"/>
  <c r="K118" i="30"/>
  <c r="J118" i="30"/>
  <c r="H118" i="30"/>
  <c r="G118" i="30"/>
  <c r="F118" i="30"/>
  <c r="E118" i="30"/>
  <c r="D118" i="30"/>
  <c r="D116" i="30"/>
  <c r="N124" i="30"/>
  <c r="J124" i="30"/>
  <c r="E124" i="30"/>
  <c r="D101" i="30"/>
  <c r="E101" i="30"/>
  <c r="F101" i="30"/>
  <c r="G101" i="30"/>
  <c r="H101" i="30"/>
  <c r="J101" i="30"/>
  <c r="K101" i="30"/>
  <c r="L101" i="30"/>
  <c r="M101" i="30"/>
  <c r="D102" i="30"/>
  <c r="E102" i="30"/>
  <c r="F102" i="30"/>
  <c r="G102" i="30"/>
  <c r="H102" i="30"/>
  <c r="J102" i="30"/>
  <c r="K102" i="30"/>
  <c r="L102" i="30"/>
  <c r="M102" i="30"/>
  <c r="D103" i="30"/>
  <c r="E103" i="30"/>
  <c r="F103" i="30"/>
  <c r="G103" i="30"/>
  <c r="H103" i="30"/>
  <c r="J103" i="30"/>
  <c r="K103" i="30"/>
  <c r="L103" i="30"/>
  <c r="M103" i="30"/>
  <c r="M100" i="30"/>
  <c r="L100" i="30"/>
  <c r="K100" i="30"/>
  <c r="J100" i="30"/>
  <c r="H100" i="30"/>
  <c r="G100" i="30"/>
  <c r="F100" i="30"/>
  <c r="E100" i="30"/>
  <c r="D100" i="30"/>
  <c r="D98" i="30"/>
  <c r="N104" i="30"/>
  <c r="J104" i="30"/>
  <c r="E104" i="30"/>
  <c r="D88" i="30"/>
  <c r="E88" i="30"/>
  <c r="F88" i="30"/>
  <c r="G88" i="30"/>
  <c r="H88" i="30"/>
  <c r="J88" i="30"/>
  <c r="K88" i="30"/>
  <c r="L88" i="30"/>
  <c r="M88" i="30"/>
  <c r="D89" i="30"/>
  <c r="E89" i="30"/>
  <c r="F89" i="30"/>
  <c r="G89" i="30"/>
  <c r="H89" i="30"/>
  <c r="J89" i="30"/>
  <c r="K89" i="30"/>
  <c r="L89" i="30"/>
  <c r="M89" i="30"/>
  <c r="D90" i="30"/>
  <c r="E90" i="30"/>
  <c r="F90" i="30"/>
  <c r="G90" i="30"/>
  <c r="H90" i="30"/>
  <c r="J90" i="30"/>
  <c r="K90" i="30"/>
  <c r="L90" i="30"/>
  <c r="M90" i="30"/>
  <c r="D91" i="30"/>
  <c r="E91" i="30"/>
  <c r="F91" i="30"/>
  <c r="G91" i="30"/>
  <c r="H91" i="30"/>
  <c r="J91" i="30"/>
  <c r="K91" i="30"/>
  <c r="L91" i="30"/>
  <c r="M91" i="30"/>
  <c r="D92" i="30"/>
  <c r="E92" i="30"/>
  <c r="F92" i="30"/>
  <c r="G92" i="30"/>
  <c r="H92" i="30"/>
  <c r="J92" i="30"/>
  <c r="K92" i="30"/>
  <c r="L92" i="30"/>
  <c r="M92" i="30"/>
  <c r="D93" i="30"/>
  <c r="E93" i="30"/>
  <c r="F93" i="30"/>
  <c r="G93" i="30"/>
  <c r="H93" i="30"/>
  <c r="J93" i="30"/>
  <c r="K93" i="30"/>
  <c r="L93" i="30"/>
  <c r="M93" i="30"/>
  <c r="D94" i="30"/>
  <c r="E94" i="30"/>
  <c r="F94" i="30"/>
  <c r="G94" i="30"/>
  <c r="H94" i="30"/>
  <c r="J94" i="30"/>
  <c r="K94" i="30"/>
  <c r="L94" i="30"/>
  <c r="M94" i="30"/>
  <c r="M87" i="30"/>
  <c r="L87" i="30"/>
  <c r="K87" i="30"/>
  <c r="J87" i="30"/>
  <c r="H87" i="30"/>
  <c r="G87" i="30"/>
  <c r="F87" i="30"/>
  <c r="E87" i="30"/>
  <c r="D87" i="30"/>
  <c r="D85" i="30"/>
  <c r="E95" i="30"/>
  <c r="N95" i="30"/>
  <c r="J95" i="30"/>
  <c r="D79" i="30"/>
  <c r="E79" i="30"/>
  <c r="F79" i="30"/>
  <c r="G79" i="30"/>
  <c r="H79" i="30"/>
  <c r="J79" i="30"/>
  <c r="K79" i="30"/>
  <c r="L79" i="30"/>
  <c r="M79" i="30"/>
  <c r="D80" i="30"/>
  <c r="E80" i="30"/>
  <c r="F80" i="30"/>
  <c r="G80" i="30"/>
  <c r="H80" i="30"/>
  <c r="J80" i="30"/>
  <c r="K80" i="30"/>
  <c r="L80" i="30"/>
  <c r="M80" i="30"/>
  <c r="D81" i="30"/>
  <c r="E81" i="30"/>
  <c r="F81" i="30"/>
  <c r="G81" i="30"/>
  <c r="H81" i="30"/>
  <c r="J81" i="30"/>
  <c r="K81" i="30"/>
  <c r="L81" i="30"/>
  <c r="M81" i="30"/>
  <c r="M78" i="30"/>
  <c r="L78" i="30"/>
  <c r="K78" i="30"/>
  <c r="J78" i="30"/>
  <c r="H78" i="30"/>
  <c r="G78" i="30"/>
  <c r="F78" i="30"/>
  <c r="E78" i="30"/>
  <c r="D78" i="30"/>
  <c r="D76" i="30"/>
  <c r="N82" i="30"/>
  <c r="J82" i="30"/>
  <c r="E82" i="30"/>
  <c r="E73" i="30"/>
  <c r="D69" i="30"/>
  <c r="E69" i="30"/>
  <c r="F69" i="30"/>
  <c r="G69" i="30"/>
  <c r="H69" i="30"/>
  <c r="J69" i="30"/>
  <c r="K69" i="30"/>
  <c r="L69" i="30"/>
  <c r="M69" i="30"/>
  <c r="D70" i="30"/>
  <c r="E70" i="30"/>
  <c r="F70" i="30"/>
  <c r="G70" i="30"/>
  <c r="H70" i="30"/>
  <c r="J70" i="30"/>
  <c r="K70" i="30"/>
  <c r="L70" i="30"/>
  <c r="M70" i="30"/>
  <c r="D71" i="30"/>
  <c r="E71" i="30"/>
  <c r="F71" i="30"/>
  <c r="G71" i="30"/>
  <c r="H71" i="30"/>
  <c r="J71" i="30"/>
  <c r="K71" i="30"/>
  <c r="L71" i="30"/>
  <c r="M71" i="30"/>
  <c r="D72" i="30"/>
  <c r="E72" i="30"/>
  <c r="F72" i="30"/>
  <c r="G72" i="30"/>
  <c r="H72" i="30"/>
  <c r="J72" i="30"/>
  <c r="K72" i="30"/>
  <c r="L72" i="30"/>
  <c r="M72" i="30"/>
  <c r="M68" i="30"/>
  <c r="L68" i="30"/>
  <c r="K68" i="30"/>
  <c r="J68" i="30"/>
  <c r="H68" i="30"/>
  <c r="G68" i="30"/>
  <c r="F68" i="30"/>
  <c r="E68" i="30"/>
  <c r="D68" i="30"/>
  <c r="D59" i="30"/>
  <c r="E59" i="30"/>
  <c r="F59" i="30"/>
  <c r="G59" i="30"/>
  <c r="H59" i="30"/>
  <c r="J59" i="30"/>
  <c r="K59" i="30"/>
  <c r="L59" i="30"/>
  <c r="M59" i="30"/>
  <c r="D60" i="30"/>
  <c r="E60" i="30"/>
  <c r="F60" i="30"/>
  <c r="G60" i="30"/>
  <c r="H60" i="30"/>
  <c r="J60" i="30"/>
  <c r="K60" i="30"/>
  <c r="L60" i="30"/>
  <c r="M60" i="30"/>
  <c r="D61" i="30"/>
  <c r="E61" i="30"/>
  <c r="F61" i="30"/>
  <c r="G61" i="30"/>
  <c r="H61" i="30"/>
  <c r="J61" i="30"/>
  <c r="K61" i="30"/>
  <c r="L61" i="30"/>
  <c r="M61" i="30"/>
  <c r="D62" i="30"/>
  <c r="E62" i="30"/>
  <c r="F62" i="30"/>
  <c r="G62" i="30"/>
  <c r="H62" i="30"/>
  <c r="J62" i="30"/>
  <c r="K62" i="30"/>
  <c r="L62" i="30"/>
  <c r="M62" i="30"/>
  <c r="M58" i="30"/>
  <c r="L58" i="30"/>
  <c r="K58" i="30"/>
  <c r="J58" i="30"/>
  <c r="H58" i="30"/>
  <c r="G58" i="30"/>
  <c r="F58" i="30"/>
  <c r="E58" i="30"/>
  <c r="D58" i="30"/>
  <c r="D43" i="30"/>
  <c r="E43" i="30"/>
  <c r="F43" i="30"/>
  <c r="G43" i="30"/>
  <c r="H43" i="30"/>
  <c r="J43" i="30"/>
  <c r="K43" i="30"/>
  <c r="L43" i="30"/>
  <c r="M43" i="30"/>
  <c r="D44" i="30"/>
  <c r="E44" i="30"/>
  <c r="F44" i="30"/>
  <c r="G44" i="30"/>
  <c r="H44" i="30"/>
  <c r="J44" i="30"/>
  <c r="K44" i="30"/>
  <c r="L44" i="30"/>
  <c r="M44" i="30"/>
  <c r="D45" i="30"/>
  <c r="E45" i="30"/>
  <c r="F45" i="30"/>
  <c r="G45" i="30"/>
  <c r="H45" i="30"/>
  <c r="J45" i="30"/>
  <c r="K45" i="30"/>
  <c r="L45" i="30"/>
  <c r="M45" i="30"/>
  <c r="D46" i="30"/>
  <c r="E46" i="30"/>
  <c r="F46" i="30"/>
  <c r="G46" i="30"/>
  <c r="H46" i="30"/>
  <c r="J46" i="30"/>
  <c r="K46" i="30"/>
  <c r="L46" i="30"/>
  <c r="M46" i="30"/>
  <c r="D47" i="30"/>
  <c r="E47" i="30"/>
  <c r="F47" i="30"/>
  <c r="G47" i="30"/>
  <c r="H47" i="30"/>
  <c r="J47" i="30"/>
  <c r="K47" i="30"/>
  <c r="L47" i="30"/>
  <c r="M47" i="30"/>
  <c r="D48" i="30"/>
  <c r="E48" i="30"/>
  <c r="F48" i="30"/>
  <c r="G48" i="30"/>
  <c r="H48" i="30"/>
  <c r="J48" i="30"/>
  <c r="K48" i="30"/>
  <c r="L48" i="30"/>
  <c r="M48" i="30"/>
  <c r="D49" i="30"/>
  <c r="E49" i="30"/>
  <c r="F49" i="30"/>
  <c r="G49" i="30"/>
  <c r="H49" i="30"/>
  <c r="J49" i="30"/>
  <c r="K49" i="30"/>
  <c r="L49" i="30"/>
  <c r="M49" i="30"/>
  <c r="D50" i="30"/>
  <c r="E50" i="30"/>
  <c r="F50" i="30"/>
  <c r="G50" i="30"/>
  <c r="H50" i="30"/>
  <c r="J50" i="30"/>
  <c r="K50" i="30"/>
  <c r="L50" i="30"/>
  <c r="M50" i="30"/>
  <c r="D51" i="30"/>
  <c r="E51" i="30"/>
  <c r="F51" i="30"/>
  <c r="G51" i="30"/>
  <c r="H51" i="30"/>
  <c r="J51" i="30"/>
  <c r="K51" i="30"/>
  <c r="L51" i="30"/>
  <c r="M51" i="30"/>
  <c r="M42" i="30"/>
  <c r="L42" i="30"/>
  <c r="K42" i="30"/>
  <c r="J42" i="30"/>
  <c r="H42" i="30"/>
  <c r="G42" i="30"/>
  <c r="F42" i="30"/>
  <c r="E42" i="30"/>
  <c r="D42" i="30"/>
  <c r="D23" i="30"/>
  <c r="E23" i="30"/>
  <c r="F23" i="30"/>
  <c r="G23" i="30"/>
  <c r="H23" i="30"/>
  <c r="J23" i="30"/>
  <c r="K23" i="30"/>
  <c r="L23" i="30"/>
  <c r="M23" i="30"/>
  <c r="D24" i="30"/>
  <c r="E24" i="30"/>
  <c r="F24" i="30"/>
  <c r="G24" i="30"/>
  <c r="H24" i="30"/>
  <c r="J24" i="30"/>
  <c r="K24" i="30"/>
  <c r="L24" i="30"/>
  <c r="M24" i="30"/>
  <c r="D25" i="30"/>
  <c r="E25" i="30"/>
  <c r="F25" i="30"/>
  <c r="G25" i="30"/>
  <c r="H25" i="30"/>
  <c r="J25" i="30"/>
  <c r="K25" i="30"/>
  <c r="L25" i="30"/>
  <c r="M25" i="30"/>
  <c r="D26" i="30"/>
  <c r="E26" i="30"/>
  <c r="F26" i="30"/>
  <c r="G26" i="30"/>
  <c r="H26" i="30"/>
  <c r="J26" i="30"/>
  <c r="K26" i="30"/>
  <c r="L26" i="30"/>
  <c r="M26" i="30"/>
  <c r="D22" i="30"/>
  <c r="M22" i="30"/>
  <c r="L22" i="30"/>
  <c r="K22" i="30"/>
  <c r="J22" i="30"/>
  <c r="H22" i="30"/>
  <c r="G22" i="30"/>
  <c r="F22" i="30"/>
  <c r="E22" i="30"/>
  <c r="D15" i="30"/>
  <c r="E15" i="30"/>
  <c r="F15" i="30"/>
  <c r="G15" i="30"/>
  <c r="H15" i="30"/>
  <c r="J15" i="30"/>
  <c r="K15" i="30"/>
  <c r="L15" i="30"/>
  <c r="M15" i="30"/>
  <c r="D16" i="30"/>
  <c r="E16" i="30"/>
  <c r="F16" i="30"/>
  <c r="G16" i="30"/>
  <c r="H16" i="30"/>
  <c r="J16" i="30"/>
  <c r="K16" i="30"/>
  <c r="L16" i="30"/>
  <c r="M16" i="30"/>
  <c r="M14" i="30"/>
  <c r="L14" i="30"/>
  <c r="K14" i="30"/>
  <c r="H14" i="30"/>
  <c r="G14" i="30"/>
  <c r="F14" i="30"/>
  <c r="E14" i="30"/>
  <c r="D14" i="30"/>
  <c r="J73" i="30"/>
  <c r="D66" i="30"/>
  <c r="N73" i="30"/>
  <c r="D56" i="30"/>
  <c r="F64" i="30"/>
  <c r="N63" i="30"/>
  <c r="J63" i="30"/>
  <c r="E63" i="30"/>
  <c r="D40" i="30"/>
  <c r="N52" i="30"/>
  <c r="J52" i="30"/>
  <c r="E52" i="30"/>
  <c r="N27" i="30"/>
  <c r="J27" i="30"/>
  <c r="E27" i="30"/>
  <c r="D20" i="30"/>
  <c r="N17" i="30"/>
  <c r="J17" i="30"/>
  <c r="E17" i="30"/>
  <c r="D12" i="30"/>
</calcChain>
</file>

<file path=xl/sharedStrings.xml><?xml version="1.0" encoding="utf-8"?>
<sst xmlns="http://schemas.openxmlformats.org/spreadsheetml/2006/main" count="5233" uniqueCount="1066">
  <si>
    <t>Team Name</t>
  </si>
  <si>
    <t>Coach</t>
  </si>
  <si>
    <t>#</t>
  </si>
  <si>
    <t>Position</t>
  </si>
  <si>
    <t>MA</t>
  </si>
  <si>
    <t>ST</t>
  </si>
  <si>
    <t>AG</t>
  </si>
  <si>
    <t>PA</t>
  </si>
  <si>
    <t>AV</t>
  </si>
  <si>
    <t>Dedicated Fans</t>
  </si>
  <si>
    <t>Team Re-Rolls</t>
  </si>
  <si>
    <t>Assistant Coaches</t>
  </si>
  <si>
    <t>Cheerleaders</t>
  </si>
  <si>
    <t>Star</t>
  </si>
  <si>
    <t>-</t>
  </si>
  <si>
    <t>Skill</t>
  </si>
  <si>
    <t>A</t>
  </si>
  <si>
    <t>G</t>
  </si>
  <si>
    <t>P</t>
  </si>
  <si>
    <t>S</t>
  </si>
  <si>
    <t>Catch</t>
  </si>
  <si>
    <t>Diving Catch</t>
  </si>
  <si>
    <t>Diving Tackle</t>
  </si>
  <si>
    <t>Dodge</t>
  </si>
  <si>
    <t>Defensive</t>
  </si>
  <si>
    <t>Jump Up</t>
  </si>
  <si>
    <t>Leap</t>
  </si>
  <si>
    <t>Safe Pair of Hands</t>
  </si>
  <si>
    <t>Sidestep</t>
  </si>
  <si>
    <t>Sneaky Git</t>
  </si>
  <si>
    <t>Sprint</t>
  </si>
  <si>
    <t>Sure Feet</t>
  </si>
  <si>
    <t>Block</t>
  </si>
  <si>
    <t>Dauntless</t>
  </si>
  <si>
    <t>Dirty Player (+1)</t>
  </si>
  <si>
    <t>Fend</t>
  </si>
  <si>
    <t>Frenzy</t>
  </si>
  <si>
    <t>Kick</t>
  </si>
  <si>
    <t>Pro</t>
  </si>
  <si>
    <t>Shadowing</t>
  </si>
  <si>
    <t>Strip Ball</t>
  </si>
  <si>
    <t>Sure Hands</t>
  </si>
  <si>
    <t>Tackle</t>
  </si>
  <si>
    <t>Wrestle</t>
  </si>
  <si>
    <t>Big Hand</t>
  </si>
  <si>
    <t>Claws</t>
  </si>
  <si>
    <t>Disturbing Presence</t>
  </si>
  <si>
    <t>Extra Arms</t>
  </si>
  <si>
    <t>Foul Appearance</t>
  </si>
  <si>
    <t>Horns</t>
  </si>
  <si>
    <t>Iron Hard Skin</t>
  </si>
  <si>
    <t>Prehensile Tail</t>
  </si>
  <si>
    <t>Tentacles</t>
  </si>
  <si>
    <t>Two Heads</t>
  </si>
  <si>
    <t>Accurate</t>
  </si>
  <si>
    <t>Cannoneer</t>
  </si>
  <si>
    <t>Cloud Burster</t>
  </si>
  <si>
    <t>Dump-off</t>
  </si>
  <si>
    <t>Fumblerooskie</t>
  </si>
  <si>
    <t>Hail Mary Pass</t>
  </si>
  <si>
    <t>Leader</t>
  </si>
  <si>
    <t>Nerves of Steel</t>
  </si>
  <si>
    <t>On the Ball</t>
  </si>
  <si>
    <t>Pass</t>
  </si>
  <si>
    <t>Running Pass</t>
  </si>
  <si>
    <t>Safe Pass</t>
  </si>
  <si>
    <t>Arm Bar</t>
  </si>
  <si>
    <t>Brawler</t>
  </si>
  <si>
    <t>Break Tackle</t>
  </si>
  <si>
    <t>Grab</t>
  </si>
  <si>
    <t>Guard</t>
  </si>
  <si>
    <t>Juggernaut</t>
  </si>
  <si>
    <t>Mighty Blow (+1)</t>
  </si>
  <si>
    <t>Multiple Block</t>
  </si>
  <si>
    <t>Pile Driver</t>
  </si>
  <si>
    <t>Stand Firm</t>
  </si>
  <si>
    <t>Strong Arm</t>
  </si>
  <si>
    <t>Thick Skull</t>
  </si>
  <si>
    <t>Black Orc</t>
  </si>
  <si>
    <t>Amazon</t>
  </si>
  <si>
    <t>Chaos Chosen</t>
  </si>
  <si>
    <t>Chaos Dwarf</t>
  </si>
  <si>
    <t>Chaos Renegade</t>
  </si>
  <si>
    <t>Dark Elf</t>
  </si>
  <si>
    <t>Dwarf</t>
  </si>
  <si>
    <t>Elven Union</t>
  </si>
  <si>
    <t>Goblin</t>
  </si>
  <si>
    <t>High Elf</t>
  </si>
  <si>
    <t>Human</t>
  </si>
  <si>
    <t>Imperial Nobility</t>
  </si>
  <si>
    <t>Lizardmen</t>
  </si>
  <si>
    <t>Necromantic Horror</t>
  </si>
  <si>
    <t>Nurgle</t>
  </si>
  <si>
    <t>Ogre</t>
  </si>
  <si>
    <t>Norse</t>
  </si>
  <si>
    <t>Old World Alliance</t>
  </si>
  <si>
    <t>Orc</t>
  </si>
  <si>
    <t>Slann</t>
  </si>
  <si>
    <t>Vampire</t>
  </si>
  <si>
    <t>Shambling Undead</t>
  </si>
  <si>
    <t>Skaven</t>
  </si>
  <si>
    <t>Snotling</t>
  </si>
  <si>
    <t>Underworld Denizens</t>
  </si>
  <si>
    <t>Wood Elf</t>
  </si>
  <si>
    <t>AM</t>
  </si>
  <si>
    <t>CD</t>
  </si>
  <si>
    <t>HE</t>
  </si>
  <si>
    <t>KH</t>
  </si>
  <si>
    <t>NO</t>
  </si>
  <si>
    <t>SL</t>
  </si>
  <si>
    <t>VA</t>
  </si>
  <si>
    <t>BO</t>
  </si>
  <si>
    <t>CC</t>
  </si>
  <si>
    <t>CR</t>
  </si>
  <si>
    <t>DE</t>
  </si>
  <si>
    <t>EU</t>
  </si>
  <si>
    <t>IN</t>
  </si>
  <si>
    <t>NH</t>
  </si>
  <si>
    <t>SU</t>
  </si>
  <si>
    <t>WE</t>
  </si>
  <si>
    <t>DW</t>
  </si>
  <si>
    <t>GO</t>
  </si>
  <si>
    <t>HA</t>
  </si>
  <si>
    <t>HU</t>
  </si>
  <si>
    <t>LM</t>
  </si>
  <si>
    <t>NU</t>
  </si>
  <si>
    <t>OG</t>
  </si>
  <si>
    <t>OW</t>
  </si>
  <si>
    <t>OR</t>
  </si>
  <si>
    <t>SK</t>
  </si>
  <si>
    <t>SN</t>
  </si>
  <si>
    <t>OW01</t>
  </si>
  <si>
    <t>OW02</t>
  </si>
  <si>
    <t>OW03</t>
  </si>
  <si>
    <t>OW04</t>
  </si>
  <si>
    <t>OW05</t>
  </si>
  <si>
    <t>OW06</t>
  </si>
  <si>
    <t>OW07</t>
  </si>
  <si>
    <t>OW08</t>
  </si>
  <si>
    <t>OW09</t>
  </si>
  <si>
    <t>OW10</t>
  </si>
  <si>
    <t>OW11</t>
  </si>
  <si>
    <t>Old World Human Lineman</t>
  </si>
  <si>
    <t>Old World Human Thrower</t>
  </si>
  <si>
    <t>Old World Human Catcher</t>
  </si>
  <si>
    <t>Old World Human Blitzer</t>
  </si>
  <si>
    <t>Old World Dwarf Blocker</t>
  </si>
  <si>
    <t>Old World Dwarf Runner</t>
  </si>
  <si>
    <t>Old World Dwarf Blitzer</t>
  </si>
  <si>
    <t>Old World Dwarf Troll Slayer</t>
  </si>
  <si>
    <t>Altern Forest Treeman</t>
  </si>
  <si>
    <t>BG</t>
  </si>
  <si>
    <t>None</t>
  </si>
  <si>
    <t>Old World Classic</t>
  </si>
  <si>
    <t>Badlands Brawl</t>
  </si>
  <si>
    <t>Halfling Thimble Cup</t>
  </si>
  <si>
    <t>Lustrian Superleague</t>
  </si>
  <si>
    <t>Sylvanian Spotlight</t>
  </si>
  <si>
    <t>Worlds Edge Superleague</t>
  </si>
  <si>
    <t>BLB</t>
  </si>
  <si>
    <t>EKL</t>
  </si>
  <si>
    <t>HTC</t>
  </si>
  <si>
    <t>OWC</t>
  </si>
  <si>
    <t>WES</t>
  </si>
  <si>
    <t>Elven Kingdoms League</t>
  </si>
  <si>
    <t>LSL</t>
  </si>
  <si>
    <t>SSL</t>
  </si>
  <si>
    <t>UWC</t>
  </si>
  <si>
    <t>Bribery and Corruption</t>
  </si>
  <si>
    <t>BAC</t>
  </si>
  <si>
    <t>Favoured of..</t>
  </si>
  <si>
    <t>FAV</t>
  </si>
  <si>
    <t>MOU</t>
  </si>
  <si>
    <t>LCL</t>
  </si>
  <si>
    <t>Low Cost Lineman</t>
  </si>
  <si>
    <t>Underworld Challenge</t>
  </si>
  <si>
    <t>..Chaos Undivided</t>
  </si>
  <si>
    <t>..Khorne</t>
  </si>
  <si>
    <t>..Nurgle</t>
  </si>
  <si>
    <t>..Tzeentch</t>
  </si>
  <si>
    <t>TZE</t>
  </si>
  <si>
    <t>..Slaanesh</t>
  </si>
  <si>
    <t>SLA</t>
  </si>
  <si>
    <t>Big Guys</t>
  </si>
  <si>
    <t>RR-Cost</t>
  </si>
  <si>
    <t>BO01</t>
  </si>
  <si>
    <t>BO02</t>
  </si>
  <si>
    <t>BO03</t>
  </si>
  <si>
    <t>Goblin Bruiser Lineman</t>
  </si>
  <si>
    <t>Dodge, Right Stuff, Stunty, Thick Skull</t>
  </si>
  <si>
    <t>Brawler, Grab</t>
  </si>
  <si>
    <t>Trained Troll</t>
  </si>
  <si>
    <t>CC01</t>
  </si>
  <si>
    <t>CC02</t>
  </si>
  <si>
    <t>CC03</t>
  </si>
  <si>
    <t>CC04</t>
  </si>
  <si>
    <t>CC05</t>
  </si>
  <si>
    <t>Beastman Runner Lineman</t>
  </si>
  <si>
    <t>Chaos Troll</t>
  </si>
  <si>
    <t>Chaos Ogre</t>
  </si>
  <si>
    <t>Minotaur</t>
  </si>
  <si>
    <t>CR01</t>
  </si>
  <si>
    <t>CR02</t>
  </si>
  <si>
    <t>CR03</t>
  </si>
  <si>
    <t>CR04</t>
  </si>
  <si>
    <t>CR05</t>
  </si>
  <si>
    <t>CR06</t>
  </si>
  <si>
    <t>CR07</t>
  </si>
  <si>
    <t>CR08</t>
  </si>
  <si>
    <t>CR09</t>
  </si>
  <si>
    <t>CR10</t>
  </si>
  <si>
    <t>Renegade Human Lineman</t>
  </si>
  <si>
    <t>Renegade Human Thrower</t>
  </si>
  <si>
    <t>Renegade Goblin</t>
  </si>
  <si>
    <t>Renegade Orc</t>
  </si>
  <si>
    <t>Renegade Skaven</t>
  </si>
  <si>
    <t>Renegade Dark Elf</t>
  </si>
  <si>
    <t>Renegade Troll</t>
  </si>
  <si>
    <t>Renegade Ogre</t>
  </si>
  <si>
    <t>Renegade Minotaur</t>
  </si>
  <si>
    <t>Renegade Rat Ogre</t>
  </si>
  <si>
    <t>DE01</t>
  </si>
  <si>
    <t>DE02</t>
  </si>
  <si>
    <t>DE03</t>
  </si>
  <si>
    <t>DE04</t>
  </si>
  <si>
    <t>DE05</t>
  </si>
  <si>
    <t>Dark Elf Lineman</t>
  </si>
  <si>
    <t>Assassin</t>
  </si>
  <si>
    <t>Shadowing, Stab</t>
  </si>
  <si>
    <t>Witch Elf</t>
  </si>
  <si>
    <t>DW01</t>
  </si>
  <si>
    <t>DW02</t>
  </si>
  <si>
    <t>DW03</t>
  </si>
  <si>
    <t>DW04</t>
  </si>
  <si>
    <t>DW05</t>
  </si>
  <si>
    <t>Dwarf Blocker Lineman</t>
  </si>
  <si>
    <t>Block, Tackle, Thick Skull</t>
  </si>
  <si>
    <t>Sure Hands, Thick Skull</t>
  </si>
  <si>
    <t>Block, Thick Skull</t>
  </si>
  <si>
    <t>Troll Slayer</t>
  </si>
  <si>
    <t>Deathroller</t>
  </si>
  <si>
    <t>EU01</t>
  </si>
  <si>
    <t>EU02</t>
  </si>
  <si>
    <t>EU03</t>
  </si>
  <si>
    <t>EU04</t>
  </si>
  <si>
    <t>Catch, Nerves of Steel</t>
  </si>
  <si>
    <t>GO01</t>
  </si>
  <si>
    <t>GO02</t>
  </si>
  <si>
    <t>GO03</t>
  </si>
  <si>
    <t>GO04</t>
  </si>
  <si>
    <t>GO05</t>
  </si>
  <si>
    <t>GO06</t>
  </si>
  <si>
    <t>GO07</t>
  </si>
  <si>
    <t>GO08</t>
  </si>
  <si>
    <t>Goblin Lineman</t>
  </si>
  <si>
    <t>Bomma</t>
  </si>
  <si>
    <t>Looney</t>
  </si>
  <si>
    <t>Fanatic</t>
  </si>
  <si>
    <t>Pogoer</t>
  </si>
  <si>
    <t>'Ooligan</t>
  </si>
  <si>
    <t>Doom Diver</t>
  </si>
  <si>
    <t>HA01</t>
  </si>
  <si>
    <t>HA02</t>
  </si>
  <si>
    <t>HA03</t>
  </si>
  <si>
    <t>HA04</t>
  </si>
  <si>
    <t>Halfling Hopeful Lineman</t>
  </si>
  <si>
    <t>Halfling Hefty</t>
  </si>
  <si>
    <t>Halfling Catcher</t>
  </si>
  <si>
    <t>GPS</t>
  </si>
  <si>
    <t>GS</t>
  </si>
  <si>
    <t>AP</t>
  </si>
  <si>
    <t>AGP</t>
  </si>
  <si>
    <t>GMS</t>
  </si>
  <si>
    <t>MS</t>
  </si>
  <si>
    <t>AS</t>
  </si>
  <si>
    <t>GMP</t>
  </si>
  <si>
    <t>PS</t>
  </si>
  <si>
    <t>GP</t>
  </si>
  <si>
    <t>GM</t>
  </si>
  <si>
    <t>AGM</t>
  </si>
  <si>
    <t>SP</t>
  </si>
  <si>
    <t>Primary</t>
  </si>
  <si>
    <t>Secondary</t>
  </si>
  <si>
    <t>AMP</t>
  </si>
  <si>
    <t>AMS</t>
  </si>
  <si>
    <t>MPS</t>
  </si>
  <si>
    <t>Very Long Legs</t>
  </si>
  <si>
    <t>-G-------</t>
  </si>
  <si>
    <t>-M-------</t>
  </si>
  <si>
    <t>-P-------</t>
  </si>
  <si>
    <t>-S-------</t>
  </si>
  <si>
    <t>Standard Skills &amp; Traits</t>
  </si>
  <si>
    <t>HU01</t>
  </si>
  <si>
    <t>HU02</t>
  </si>
  <si>
    <t>HU03</t>
  </si>
  <si>
    <t>HU04</t>
  </si>
  <si>
    <t>HU05</t>
  </si>
  <si>
    <t>HU06</t>
  </si>
  <si>
    <t>Human Lineman</t>
  </si>
  <si>
    <t>Pass, Sure Hands</t>
  </si>
  <si>
    <t>Catch, Dodge</t>
  </si>
  <si>
    <t>Halfling Hopeful</t>
  </si>
  <si>
    <t>IN01</t>
  </si>
  <si>
    <t>IN02</t>
  </si>
  <si>
    <t>IN03</t>
  </si>
  <si>
    <t>IN04</t>
  </si>
  <si>
    <t>IN05</t>
  </si>
  <si>
    <t>Imperial Retainer Lineman</t>
  </si>
  <si>
    <t>Imperial Thrower</t>
  </si>
  <si>
    <t>Pass, Runing Pass</t>
  </si>
  <si>
    <t>Noble Blitzer</t>
  </si>
  <si>
    <t>Block, Catch</t>
  </si>
  <si>
    <t>Stand Firm, Wrestle</t>
  </si>
  <si>
    <t>LM01</t>
  </si>
  <si>
    <t>LM02</t>
  </si>
  <si>
    <t>LM03</t>
  </si>
  <si>
    <t>LM04</t>
  </si>
  <si>
    <t>Skink Runner Lineman</t>
  </si>
  <si>
    <t>Chameleon Skink</t>
  </si>
  <si>
    <t>Saurus Blocker</t>
  </si>
  <si>
    <t>Kroxigor</t>
  </si>
  <si>
    <t>NH01</t>
  </si>
  <si>
    <t>NH02</t>
  </si>
  <si>
    <t>NH03</t>
  </si>
  <si>
    <t>NH04</t>
  </si>
  <si>
    <t>NH05</t>
  </si>
  <si>
    <t>Zombie Lineman</t>
  </si>
  <si>
    <t>Regeneration</t>
  </si>
  <si>
    <t>Ghoul Runner</t>
  </si>
  <si>
    <t>Wraith</t>
  </si>
  <si>
    <t>Werewolf</t>
  </si>
  <si>
    <t>Flesh Golem</t>
  </si>
  <si>
    <t>Regeneration, Stand Firm, Thick Skull</t>
  </si>
  <si>
    <t>NU01</t>
  </si>
  <si>
    <t>NU02</t>
  </si>
  <si>
    <t>NU03</t>
  </si>
  <si>
    <t>NU04</t>
  </si>
  <si>
    <t>Rotter Lineman</t>
  </si>
  <si>
    <t>Pestigor</t>
  </si>
  <si>
    <t>Horns, Plague Ridden, Regeneration</t>
  </si>
  <si>
    <t>Bloater</t>
  </si>
  <si>
    <t>Rotspawn</t>
  </si>
  <si>
    <t>OG01</t>
  </si>
  <si>
    <t>OG02</t>
  </si>
  <si>
    <t>OG03</t>
  </si>
  <si>
    <t>Gnoblar Lineman</t>
  </si>
  <si>
    <t>Ogre Runt Punter</t>
  </si>
  <si>
    <t>Ogre Blocker</t>
  </si>
  <si>
    <t>OR01</t>
  </si>
  <si>
    <t>OR02</t>
  </si>
  <si>
    <t>OR03</t>
  </si>
  <si>
    <t>OR04</t>
  </si>
  <si>
    <t>OR05</t>
  </si>
  <si>
    <t>OR06</t>
  </si>
  <si>
    <t>Orc Lineman</t>
  </si>
  <si>
    <t>Big Un Blocker</t>
  </si>
  <si>
    <t>Untrained Troll</t>
  </si>
  <si>
    <t>SU01</t>
  </si>
  <si>
    <t>SU02</t>
  </si>
  <si>
    <t>SU03</t>
  </si>
  <si>
    <t>SU04</t>
  </si>
  <si>
    <t>SU05</t>
  </si>
  <si>
    <t>Skeleton Lineman</t>
  </si>
  <si>
    <t>Regeneration, Thick Skull</t>
  </si>
  <si>
    <t>Wight Blitzer</t>
  </si>
  <si>
    <t>Block, Regeneration</t>
  </si>
  <si>
    <t>Mummy</t>
  </si>
  <si>
    <t>Mighty Blow (+1), Regeneration</t>
  </si>
  <si>
    <t>SK01</t>
  </si>
  <si>
    <t>SK02</t>
  </si>
  <si>
    <t>SK03</t>
  </si>
  <si>
    <t>SK04</t>
  </si>
  <si>
    <t>SK05</t>
  </si>
  <si>
    <t>Skaven Clanrat Lineman</t>
  </si>
  <si>
    <t>Rat Ogre</t>
  </si>
  <si>
    <t>SN01</t>
  </si>
  <si>
    <t>SN02</t>
  </si>
  <si>
    <t>SN03</t>
  </si>
  <si>
    <t>SN04</t>
  </si>
  <si>
    <t>SN05</t>
  </si>
  <si>
    <t>SN06</t>
  </si>
  <si>
    <t>Snotling Lineman</t>
  </si>
  <si>
    <t>Fungus Flinga</t>
  </si>
  <si>
    <t>Fun-hoppa</t>
  </si>
  <si>
    <t>Stilty Runna</t>
  </si>
  <si>
    <t>Pump Wagon</t>
  </si>
  <si>
    <t>UW</t>
  </si>
  <si>
    <t>UW01</t>
  </si>
  <si>
    <t>UW02</t>
  </si>
  <si>
    <t>UW03</t>
  </si>
  <si>
    <t>UW04</t>
  </si>
  <si>
    <t>UW05</t>
  </si>
  <si>
    <t>UW06</t>
  </si>
  <si>
    <t>UW07</t>
  </si>
  <si>
    <t>UW08</t>
  </si>
  <si>
    <t>Underworld Goblin Lineman</t>
  </si>
  <si>
    <t>Underworld Snotling</t>
  </si>
  <si>
    <t>Skaven Thrower</t>
  </si>
  <si>
    <t>Skaven Blitzer</t>
  </si>
  <si>
    <t>Underworld Troll</t>
  </si>
  <si>
    <t>Mutant Rat Ogre</t>
  </si>
  <si>
    <t>WE01</t>
  </si>
  <si>
    <t>WE02</t>
  </si>
  <si>
    <t>WE03</t>
  </si>
  <si>
    <t>WE04</t>
  </si>
  <si>
    <t>WE05</t>
  </si>
  <si>
    <t>Wood Elf Lineman</t>
  </si>
  <si>
    <t>Wardancer</t>
  </si>
  <si>
    <t>Loren Forest Treeman</t>
  </si>
  <si>
    <t>AM01</t>
  </si>
  <si>
    <t>AM02</t>
  </si>
  <si>
    <t>AM03</t>
  </si>
  <si>
    <t>AM04</t>
  </si>
  <si>
    <t>Block, Dodge, Leap</t>
  </si>
  <si>
    <t>CD01</t>
  </si>
  <si>
    <t>CD02</t>
  </si>
  <si>
    <t>CD03</t>
  </si>
  <si>
    <t>CD04</t>
  </si>
  <si>
    <t>Chaos Dwarf Blocker</t>
  </si>
  <si>
    <t>Sprint, Sure Feet, Thick Skull</t>
  </si>
  <si>
    <t>Enslaved Minotaur</t>
  </si>
  <si>
    <t>HE01</t>
  </si>
  <si>
    <t>HE02</t>
  </si>
  <si>
    <t>HE03</t>
  </si>
  <si>
    <t>HE04</t>
  </si>
  <si>
    <t>High Elf Lineman</t>
  </si>
  <si>
    <t>KH01</t>
  </si>
  <si>
    <t>KH02</t>
  </si>
  <si>
    <t>KH03</t>
  </si>
  <si>
    <t>KH04</t>
  </si>
  <si>
    <t>Anointed Thrower</t>
  </si>
  <si>
    <t>Anointed Blitzer</t>
  </si>
  <si>
    <t>Tomb Guardian</t>
  </si>
  <si>
    <t>SL01</t>
  </si>
  <si>
    <t>SL02</t>
  </si>
  <si>
    <t>SL03</t>
  </si>
  <si>
    <t>SL04</t>
  </si>
  <si>
    <t>Slann Lineman</t>
  </si>
  <si>
    <t>VA01</t>
  </si>
  <si>
    <t>VA02</t>
  </si>
  <si>
    <t>Thrall Lineman</t>
  </si>
  <si>
    <t>Dark Elf Runner</t>
  </si>
  <si>
    <t>Dwarf Runner</t>
  </si>
  <si>
    <t>Dwarf Blitzer</t>
  </si>
  <si>
    <t>Elven Lineman</t>
  </si>
  <si>
    <t>Elven Thrower</t>
  </si>
  <si>
    <t>Elven Catcher</t>
  </si>
  <si>
    <t>Elven Blitzer</t>
  </si>
  <si>
    <t>Human Thrower</t>
  </si>
  <si>
    <t>Human Catcher</t>
  </si>
  <si>
    <t>Human Blitzer</t>
  </si>
  <si>
    <t>Orc Thrower</t>
  </si>
  <si>
    <t>Orc Blitzer</t>
  </si>
  <si>
    <t>Skaven Gutter Runner</t>
  </si>
  <si>
    <t>Wood Elf Thrower</t>
  </si>
  <si>
    <t>Wood Elf Catcher</t>
  </si>
  <si>
    <t>High Elf Thrower</t>
  </si>
  <si>
    <t>Slann Catcher</t>
  </si>
  <si>
    <t>Slann Blitzer</t>
  </si>
  <si>
    <t>Old World Ogre</t>
  </si>
  <si>
    <t>Underworld Clanrat</t>
  </si>
  <si>
    <t>Underworld Skaven Thrower</t>
  </si>
  <si>
    <t>Underworld Gutter Runner</t>
  </si>
  <si>
    <t>Underworld Skaven Blitzer</t>
  </si>
  <si>
    <t>The Black Gobbo</t>
  </si>
  <si>
    <t>Deeproot Strongbranch</t>
  </si>
  <si>
    <t>Eldril Sidewinder</t>
  </si>
  <si>
    <t>Glart Smashrip</t>
  </si>
  <si>
    <t>Gloriel Summerbloom</t>
  </si>
  <si>
    <t>Griff Oberwald</t>
  </si>
  <si>
    <t>Grim Ironjaw</t>
  </si>
  <si>
    <t>Hakflem Skuttlespike</t>
  </si>
  <si>
    <t>Helmut Wulf</t>
  </si>
  <si>
    <t>Lord Borak the Despoiler</t>
  </si>
  <si>
    <t>Mighty Zug</t>
  </si>
  <si>
    <t>Morg 'n' Thorg</t>
  </si>
  <si>
    <t>Rumbelow Sheepskin</t>
  </si>
  <si>
    <t>Skrull Halfheight</t>
  </si>
  <si>
    <t>Varag Ghoul-Chewer</t>
  </si>
  <si>
    <t>Grombrindal, the White Dwarf</t>
  </si>
  <si>
    <t>Willow Rosebark</t>
  </si>
  <si>
    <t>Zolcath the Zoat</t>
  </si>
  <si>
    <t>BLBUWC</t>
  </si>
  <si>
    <t>OWCWES</t>
  </si>
  <si>
    <t>G&amp;C: Grak</t>
  </si>
  <si>
    <t>G&amp;C: Crumbleberry</t>
  </si>
  <si>
    <t>Swift Twins: Lucien Swift</t>
  </si>
  <si>
    <t>Swift Twins: Valen Swift</t>
  </si>
  <si>
    <t>Tier</t>
  </si>
  <si>
    <t>Old World Halfling Hopeful</t>
  </si>
  <si>
    <t>Basic Skills</t>
  </si>
  <si>
    <t>S1</t>
  </si>
  <si>
    <t>S2</t>
  </si>
  <si>
    <t>Team Race</t>
  </si>
  <si>
    <t>TV</t>
  </si>
  <si>
    <t>Page</t>
  </si>
  <si>
    <t>NO01</t>
  </si>
  <si>
    <t>NO02</t>
  </si>
  <si>
    <t>NO03</t>
  </si>
  <si>
    <t>NO04</t>
  </si>
  <si>
    <t>NO05</t>
  </si>
  <si>
    <t>NO06</t>
  </si>
  <si>
    <t>Yhetee</t>
  </si>
  <si>
    <t>RELIABLE: If Deeproot fumbles a Throw Team-mate action, the player that was thrown will bounce as normal but will automatically land safely.</t>
  </si>
  <si>
    <t>MESMERIZING DANCE: Once per game, Eldril may re-roll a failed Agility test when attempting to use the Hypnotic Gaze trait.</t>
  </si>
  <si>
    <t>FRENZIED RUSH: Once per game, when Glart performs a Blitz action, he may gain the Frenzy skill. You must declare this special rule is being used when Glart is activated. Glart may not use the Grab skill during a turn in which he uses this special rule.</t>
  </si>
  <si>
    <t>SHOT TO NOTHING: Once per game, when Gloriel performs a Pass action, she may gain the Hail Mary Pass skill. You must declare this special rule is being used when Gloriel is activated.</t>
  </si>
  <si>
    <t>TWO FOR ONE (1): Grak and Crumbleberry must be hired as a pair and count as two Star Players.</t>
  </si>
  <si>
    <t>TWO FOR ONE (2): However, if either Grak or Crumbleberry is removed from play due to suffering a KO'd or Casualty! result on the Injury table, the other replaces the Loner (4+) trait with the Loner (2+) trait.</t>
  </si>
  <si>
    <t>CONSUMMATE PROFESSIONAL: Once per game, Griff may re-roll one dice that was rolled either as a single deice roll as part of a multiple dice roll or as part of a dice pool (this cannot be a dice that was rolled as part of an Armour, Injury or Casualty roll).</t>
  </si>
  <si>
    <t>SLAYER: Once per game, when an opposition player with a Strength characteristic of 5 or more is Knocked Down as the result of a Block action performed by Grim, you may apply an additional +1 modifier to either the Armour or Injury roll. This modifier may be applied after the roll has been made.</t>
  </si>
  <si>
    <t>WISDOM OF THE WHITE DWARF: Once per team turn, when one of Grombrindal's team-mates that is in the adjacent square is activated, that player gains either the Break Tackle, Dauntless, Mighty Blow (+1) or Sure Feet skill until the end of their activation.</t>
  </si>
  <si>
    <t>TREACHEROUS: Once per game, if team-mate in an adjacent square to Hakflem is in possession of the ball when Hakflem is activated, that player may immeddiately be Knocked Down and Hakflem may take possession of the ball. No Turnover is caused as result of using this special rule.</t>
  </si>
  <si>
    <t>OLD PRO: Once per game, Helmut may use his Pro skill to re-roll a single dice rolled as part of an Armour roll.</t>
  </si>
  <si>
    <t>INDOMITABLE: Once per game, when Karla sucessfully rolls to use her Dauntless skill, she may increase her Strength characteristic to double that of the nominated target of her Block action.</t>
  </si>
  <si>
    <t>LORD OF CHAOS: A team that includes Lord Borak gains an extra Team re-roll for the first half of the game. If this Team re-roll is not used during the first half, it may be carried over into the second half. However, if Lord Borak is removed from the play before this re-roll is used, it is lost.</t>
  </si>
  <si>
    <t>THE BALLISTA: Once per game, if Morg fails the Passing Ability test when making a Pass action or a Throw Team-mate action, you may re-roll the D6</t>
  </si>
  <si>
    <t>STRONG PASSING GAME: Once per game, after making a Passing Ability test to perform a Pass action, Skrull may choose to modify the dice roll ba adding his Strength characteristic to it.</t>
  </si>
  <si>
    <t>TWO FOR ONE (1): The Swift Twins must be hired as a pair and count as two Star Players.</t>
  </si>
  <si>
    <t>TWO FOR ONE (2): However, if either Lucien or Valen is removed from play due to suffering a KO'd or Casualty! result on the Injury table, the other replaces the Loner (4+) trait with the Loner (2+) trait.</t>
  </si>
  <si>
    <t>INDOMITABLE: Once per game, when Willow sucessfully rolls to use her Dauntless skill, she may increase her Strength characteristic to double that of the nominated target of her Block action.</t>
  </si>
  <si>
    <t>"EXCUSE ME, ARE YOU A ZOAT?": Once per game, when Zolcath is activated, he main gain the Hypnotic Gaze trait. You must declare this special rule is being used when Zolcath is activated.</t>
  </si>
  <si>
    <t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t>
  </si>
  <si>
    <t>A Master Chef costs only 100,000 gold pieces.</t>
  </si>
  <si>
    <t>MOUSSL</t>
  </si>
  <si>
    <t>BLBLCLOWC</t>
  </si>
  <si>
    <t>BACLCLUWC</t>
  </si>
  <si>
    <t>BACUWC</t>
  </si>
  <si>
    <t>Special Rules:</t>
  </si>
  <si>
    <t>Skill Categories</t>
  </si>
  <si>
    <t>Agility</t>
  </si>
  <si>
    <t>General</t>
  </si>
  <si>
    <t>Mutations</t>
  </si>
  <si>
    <t>Passing</t>
  </si>
  <si>
    <t>Strength</t>
  </si>
  <si>
    <t>Disturbing Presence*</t>
  </si>
  <si>
    <t>Cloud Buster</t>
  </si>
  <si>
    <t>Frenzy*</t>
  </si>
  <si>
    <t>Foul Appearance*</t>
  </si>
  <si>
    <t>Monstrous Mouth</t>
  </si>
  <si>
    <t>Traits</t>
  </si>
  <si>
    <t>Animal Savagery*</t>
  </si>
  <si>
    <t>Decay*</t>
  </si>
  <si>
    <t>Projectile Vomit</t>
  </si>
  <si>
    <t>Swarming</t>
  </si>
  <si>
    <t>Animosity*</t>
  </si>
  <si>
    <t>Hypnotic Gaze</t>
  </si>
  <si>
    <t>Really Stupid*</t>
  </si>
  <si>
    <t>Swoop</t>
  </si>
  <si>
    <t>Always Hungry*</t>
  </si>
  <si>
    <t>Kick Team-mate</t>
  </si>
  <si>
    <t>Take Root*</t>
  </si>
  <si>
    <t>Ball &amp; Chain*</t>
  </si>
  <si>
    <t>Loner (X+)</t>
  </si>
  <si>
    <t>Right Stuff*</t>
  </si>
  <si>
    <t>Titchy*</t>
  </si>
  <si>
    <t>Bombardier</t>
  </si>
  <si>
    <t>No Hands*</t>
  </si>
  <si>
    <t>Secret Weapon*</t>
  </si>
  <si>
    <t>Timmm-ber!</t>
  </si>
  <si>
    <t>Bone Head*</t>
  </si>
  <si>
    <t>Stab</t>
  </si>
  <si>
    <t>Throw Team-mate</t>
  </si>
  <si>
    <t>Chainsaw*</t>
  </si>
  <si>
    <t>Pogo Stick</t>
  </si>
  <si>
    <t>Stunty*</t>
  </si>
  <si>
    <t>Skills</t>
  </si>
  <si>
    <t>Hobgoblin Lineman</t>
  </si>
  <si>
    <t>Cloud Burster, Pass, Safe Pass</t>
  </si>
  <si>
    <t>High Elf Catcher</t>
  </si>
  <si>
    <t>High Elf Blitzer</t>
  </si>
  <si>
    <t>Norse Berserker</t>
  </si>
  <si>
    <t>Pass, Regeneration, Sure Hands, Thick Skull</t>
  </si>
  <si>
    <t>Block, Regeneration, Thick Skull</t>
  </si>
  <si>
    <t>AGS</t>
  </si>
  <si>
    <t>BLBFAVWES</t>
  </si>
  <si>
    <t>Bull Centaur Blitzer</t>
  </si>
  <si>
    <t>Chosen Blocker</t>
  </si>
  <si>
    <t>Pri.</t>
  </si>
  <si>
    <t>Sec.</t>
  </si>
  <si>
    <t>ReRolls:</t>
  </si>
  <si>
    <t>Apo</t>
  </si>
  <si>
    <t>Yes</t>
  </si>
  <si>
    <t>No</t>
  </si>
  <si>
    <t>Apothecary:</t>
  </si>
  <si>
    <t>Tier:</t>
  </si>
  <si>
    <t>Special Team Rules:</t>
  </si>
  <si>
    <t>Trained Troll for Black Orcs</t>
  </si>
  <si>
    <t>* 0-1 Big Guys</t>
  </si>
  <si>
    <t>* 0-3 Big Guys</t>
  </si>
  <si>
    <t>Zombie Lineman °</t>
  </si>
  <si>
    <t>Ghoul Runner °</t>
  </si>
  <si>
    <t>Altern Forest Treeman °</t>
  </si>
  <si>
    <t>BRUTAL BLOCK: Once per game, when Frank 'n' Stein makes an Injury roll against an opponent as a result of a Block action, he may choose to add an additional +1 modifier to the Injury roll. This modifier may be applied after the roll has been made.</t>
  </si>
  <si>
    <t>Frank 'n' Stein</t>
  </si>
  <si>
    <t>Wilhelm Chaney</t>
  </si>
  <si>
    <t>SAVAGE MAULING: Once per game, when Wilhelm makes an Injury roll against an opposing player, he may choose to re-roll the result.</t>
  </si>
  <si>
    <t>GHOSTLY FLAMES: Once per half, when Bryce makes the Chainsaw Attack Special action as part of a Blitz action, he may add +4 to the Armour roll against an opponent rather than +3.</t>
  </si>
  <si>
    <t>ASP</t>
  </si>
  <si>
    <t>Diving Catch, Pogo Stick, Very Long Legs</t>
  </si>
  <si>
    <t>Diving Tackle, Jump Up, Pogo Stick, Very Long Legs</t>
  </si>
  <si>
    <t>Pogo Stick, Very Long Legs</t>
  </si>
  <si>
    <t>Karla von Kill</t>
  </si>
  <si>
    <t>CRUSHING BLOW: Once per game, when an opposition player is Knocked Down as result of a Block action performed by Zug, you may apply an additional +1 modifier to the Armour roll. This modifier may be applied after the roll has been made.</t>
  </si>
  <si>
    <t>Halfling</t>
  </si>
  <si>
    <t>Akhorne the Squirrel</t>
  </si>
  <si>
    <t>BLIND RAGE: Akhorne may choose to re-roll the D6 when rolling for the Dauntless skill.</t>
  </si>
  <si>
    <t>Bodyguard</t>
  </si>
  <si>
    <t>Dark Elf Blitzer</t>
  </si>
  <si>
    <t>Ulfwerener</t>
  </si>
  <si>
    <t>Vampire Blitzer</t>
  </si>
  <si>
    <t>BURST OF SPEED: Once per game, Roxanna may attempt to Rush three times, rather than the usual two. You may declare you are using this special rule after Roxanna has rushed twice.</t>
  </si>
  <si>
    <t>RAM: Once per game, when an opposition player is Knocked Down as a result of a Block action performed by Rumbelow, you may apply +1 modifier to either Armour roll or Injury roll. This modifier may be applied after the roll has been made.</t>
  </si>
  <si>
    <t>SNEAKIEST OF THE LOT: If your team includes the Black Gobbo, you may commit two Foul actions per team turn, provided one of your Foul actions is committed by the Black Gobbo himself.</t>
  </si>
  <si>
    <t>CRUSHING BLOW: Once per game, when an opposition player is Knocked Down as result of a Block action performed by Varag, you may apply an additional +1 modifier to the Armour roll. This modifier may be applied after the roll has been made.</t>
  </si>
  <si>
    <t>Plague Ridden</t>
  </si>
  <si>
    <t>Block, Sidestep</t>
  </si>
  <si>
    <t>Animal Savagery*, Frenzy*, Loner (4+)*, Mighty Blow (+1), Prehensile Tail</t>
  </si>
  <si>
    <t>Animal Savagery*, Frenzy*, Horns, Loner (4+)*, Mighty Blow (+1), Thick Skull</t>
  </si>
  <si>
    <t>Always Hungry*, Loner (3+)*, Mighty Blow (+1), Projectile Vomit, Really Stupid*, Regeneration, Throw Team-mate</t>
  </si>
  <si>
    <t>Always Hungry*, Loner (4+)*, Mighty Blow (+1), Projectile Vomit, Really Stupid*, Regeneration, Throw Team-mate</t>
  </si>
  <si>
    <t>Bone Head*, Loner (4+)*, Mighty Blow (+1), Thick Skull, Throw Team-mate</t>
  </si>
  <si>
    <t>Loner (4+)*, Frenzy*, Horns, Mighty Blow (+1), Thick Skull, Unchannelled Fury*</t>
  </si>
  <si>
    <t>Animosity (all)*, Pass, Safe Pair of Hands</t>
  </si>
  <si>
    <t>Animosity (all)*</t>
  </si>
  <si>
    <t>Dodge, Frenzy*, Jump Up</t>
  </si>
  <si>
    <t>Block, Dauntless, Frenzy*, Thick Skull</t>
  </si>
  <si>
    <t>Break Tackle, Dirty Player (+2), Juggernaut, Loner (5+), Mighty Blow (+1), No Hands*, Secret Weapon*, Stand Firm</t>
  </si>
  <si>
    <t>Bombardier, Dodge, Secret Weapon*, Stunty*</t>
  </si>
  <si>
    <t>Dodge, Right Stuff*, Stunty*</t>
  </si>
  <si>
    <t>Animosity (all)*, Dodge, Right Stuff*, Stunty*</t>
  </si>
  <si>
    <t>Chainsaw*, Secret Weapon*, Stunty*</t>
  </si>
  <si>
    <t>Ball &amp; Chain*, No Hands*, Secret Weapon*, Stunty*</t>
  </si>
  <si>
    <t>Dodge, Pogo Stick, Stunty*</t>
  </si>
  <si>
    <t>Dirty Player (+1), Disturbing Presence*, Dodge, Right Stuff*, Stunty*</t>
  </si>
  <si>
    <t>Right Stuff*, Stunty*, Swoop</t>
  </si>
  <si>
    <t>Dodge, Fend, Stunty*</t>
  </si>
  <si>
    <t>Catch, Dodge, Right Stuff*, Sprint, Stunty*</t>
  </si>
  <si>
    <t>Mighty Blow (+1), Stand Firm, Strong Arm, Take Root*, Thick Skull, Throw Team-mate, Timmm-ber!</t>
  </si>
  <si>
    <t>Dodge, Stunty*</t>
  </si>
  <si>
    <t>Dodge, On the Ball, Shadowing, Stunty*</t>
  </si>
  <si>
    <t>Bone Head*, Loner (4+)*, Mighty Blow (+1), Prehensile Tail, Thick Skull</t>
  </si>
  <si>
    <t>Block, Foul Appearance*, No Hands*, Regeneration, Sidestep</t>
  </si>
  <si>
    <t>Claws, Frenzy*, Regeneration</t>
  </si>
  <si>
    <t>Decay*, Plague Ridden</t>
  </si>
  <si>
    <t>Disturbing Presence*, Foul Appearance*, Plague Ridden, Regeneration</t>
  </si>
  <si>
    <t>Disturbing Presence*, Foul Appearance*, Loner (4+)*, Mighty Blow (+1), Plague Ridden, Really Stupid*, Regeneration, Tentacles</t>
  </si>
  <si>
    <t>Dodge, Right Stuff*, Sidestep, Stunty*, Titchy*</t>
  </si>
  <si>
    <t>Bone Head*, Kick Team-mate, Mighty Blow (+1), Thick Skull</t>
  </si>
  <si>
    <t>Bone Head*, Mighty Blow (+1), Thick Skull, Throw Team-mate</t>
  </si>
  <si>
    <t>Animosity (DW, HA)*, Pass, Sure Hands</t>
  </si>
  <si>
    <t>Animosity (DW, HA)*, Catch, Dodge</t>
  </si>
  <si>
    <t>Animosity (DW, HA)*, Block</t>
  </si>
  <si>
    <t>Arm Bar, Brawler, Loner (3+)*, Thick Skull</t>
  </si>
  <si>
    <t>Loner (3+)*, Sure Hands, Thick Skull</t>
  </si>
  <si>
    <t>Block, Loner (3+)*, Thick Skull</t>
  </si>
  <si>
    <t>Block, Dauntless, Frenzy*, Loner (3+)*, Thick Skull</t>
  </si>
  <si>
    <t>Animosity (DW, HU)*, Dodge, Right Stuff*, Stunty*</t>
  </si>
  <si>
    <t>Loner (4+)*, Mighty Blow (+1), Stand Firm, Strong Arm, Take Root*, Thick Skull, Throw Team-mate, Timmm-ber!</t>
  </si>
  <si>
    <t>Animosity (LM)*</t>
  </si>
  <si>
    <t>Animosity (all)*, Pass, Sure Hands</t>
  </si>
  <si>
    <t>Animosity (all)*, Block</t>
  </si>
  <si>
    <t>Animosity (BU)*</t>
  </si>
  <si>
    <t>Dodge, Right Stuff*, Sidestep, Stunty*, Swarming, Titchy*</t>
  </si>
  <si>
    <t>Bombardier, Dodge, Right Stuff*, Secret Weapon*, Sidestep, Stunty*</t>
  </si>
  <si>
    <t>Dodge, Pogo Stick, Right Stuff*, Sidestep, Stunty*</t>
  </si>
  <si>
    <t>Dodge, Right Stuff*, Sidestep, Sprint, Stunty*</t>
  </si>
  <si>
    <t>Dirty Player (+1), Juggernaut, Mighty Blow (+1), Really Stupid*, Secret Weapon*, Stand Firm</t>
  </si>
  <si>
    <t>Animosity (GO)*</t>
  </si>
  <si>
    <t>Animosity (GO)*, Pass, Sure Hands</t>
  </si>
  <si>
    <t>Animosity (GO)*, Dodge</t>
  </si>
  <si>
    <t>Animosity (GO)*, Block</t>
  </si>
  <si>
    <t>Loner (4+)*, Mighty Blow (+1), Stand Firm, Strong Arm, Take Root*, Thick Skull, Throw Team-mate</t>
  </si>
  <si>
    <t>Decay*, Regeneration</t>
  </si>
  <si>
    <t>Block, Frenzy*, Jump Up</t>
  </si>
  <si>
    <t>Claws, Disturbing Presence*, Frenzy*, Loner (4+)*, Unchannelled Fury*</t>
  </si>
  <si>
    <t>Unchannelled Fury*</t>
  </si>
  <si>
    <t>Tournament Team Value</t>
  </si>
  <si>
    <t>MA +1</t>
  </si>
  <si>
    <t>PA +1</t>
  </si>
  <si>
    <t>AG +1</t>
  </si>
  <si>
    <t>ST +1</t>
  </si>
  <si>
    <t>Budget</t>
  </si>
  <si>
    <t>x 50.000/100.000 gp =</t>
  </si>
  <si>
    <t>Apothecaries</t>
  </si>
  <si>
    <t>Bloodweiser Kegs</t>
  </si>
  <si>
    <t>Bribes</t>
  </si>
  <si>
    <t>Halfling Master Chef</t>
  </si>
  <si>
    <t>Player Position</t>
  </si>
  <si>
    <t>Biased Ref</t>
  </si>
  <si>
    <t>Tomb Kings</t>
  </si>
  <si>
    <t>TK</t>
  </si>
  <si>
    <t>Khorne</t>
  </si>
  <si>
    <t>TK01</t>
  </si>
  <si>
    <t>TK02</t>
  </si>
  <si>
    <t>TK03</t>
  </si>
  <si>
    <t>TK04</t>
  </si>
  <si>
    <t>Bloodborn Marauder</t>
  </si>
  <si>
    <t>Khorngor</t>
  </si>
  <si>
    <t>Horns, Juggernaut</t>
  </si>
  <si>
    <t>Bloodseeker</t>
  </si>
  <si>
    <t>Bloodspawn</t>
  </si>
  <si>
    <t>Claws, Frenzy*, Loner (4+)*, Mighty Blow (+1), Unchanneled Fury*</t>
  </si>
  <si>
    <t>Team 1</t>
  </si>
  <si>
    <t>Primary Skills</t>
  </si>
  <si>
    <t>Star Player</t>
  </si>
  <si>
    <t>Select Team</t>
  </si>
  <si>
    <t>Team Building</t>
  </si>
  <si>
    <t>• Halfling Master Chef 0-1</t>
  </si>
  <si>
    <t>• Bloodweiser Kegs 0-2</t>
  </si>
  <si>
    <t>• Wandering Apothecaries 0-2</t>
  </si>
  <si>
    <t>• Mortuary Assistant 0-1</t>
  </si>
  <si>
    <t>• Plague Doctor 0-1</t>
  </si>
  <si>
    <t>Squads</t>
  </si>
  <si>
    <t>Team Tiers</t>
  </si>
  <si>
    <t>Cost</t>
  </si>
  <si>
    <t>[T1] Skill access and basic list from Player List</t>
  </si>
  <si>
    <t>[T2] Skill list address depending on Access [T1]</t>
  </si>
  <si>
    <t>Team ID</t>
  </si>
  <si>
    <t>Spec. Rule</t>
  </si>
  <si>
    <t>Special Rule</t>
  </si>
  <si>
    <t>Player types</t>
  </si>
  <si>
    <t>Max Big Guys</t>
  </si>
  <si>
    <t>[T3] Skill list after user selection</t>
  </si>
  <si>
    <t>First</t>
  </si>
  <si>
    <t>Second</t>
  </si>
  <si>
    <t>[T4] Team info</t>
  </si>
  <si>
    <t>Max number</t>
  </si>
  <si>
    <t>Player type</t>
  </si>
  <si>
    <t>Player name</t>
  </si>
  <si>
    <t>Rostered</t>
  </si>
  <si>
    <t>[T5] Roster info</t>
  </si>
  <si>
    <t>Specific</t>
  </si>
  <si>
    <t>Master Chef</t>
  </si>
  <si>
    <t>Bribe</t>
  </si>
  <si>
    <t>First Upgrade</t>
  </si>
  <si>
    <t>Second Upgrade</t>
  </si>
  <si>
    <t>Secondary Skill</t>
  </si>
  <si>
    <t>Primary Skill</t>
  </si>
  <si>
    <t>Upgrade PD</t>
  </si>
  <si>
    <t>[T6] Skills</t>
  </si>
  <si>
    <t xml:space="preserve">Stacked </t>
  </si>
  <si>
    <t>Quantitity check</t>
  </si>
  <si>
    <t>Duplicity check</t>
  </si>
  <si>
    <t>Number BGs</t>
  </si>
  <si>
    <t>Stats</t>
  </si>
  <si>
    <t>Skill Pack:</t>
  </si>
  <si>
    <t>Stat Increase</t>
  </si>
  <si>
    <t>[T7] Skills</t>
  </si>
  <si>
    <t>Badlands Brawl
Favoured of...
Worlds Edge Superleague</t>
  </si>
  <si>
    <t>Favoured of Nurgle</t>
  </si>
  <si>
    <t>Masters of Undead
Sylvanian Spotlight</t>
  </si>
  <si>
    <t>Old World Classic
Worlds Edge Superleague</t>
  </si>
  <si>
    <t>This team may not hire an Apothecary, but is allowed to induce a Plague Doctor.</t>
  </si>
  <si>
    <t>Once per game, when rolling on the Argue the Call table, you may re-roll a roll of a natural 1. Bribes are 50,000 gold pieces each.</t>
  </si>
  <si>
    <t>In league play (but not in exhibition play), when calculating the Current Value of any permanently hired Lineman players on a team with this special rule, the Hiring Fee of that player is not included.</t>
  </si>
  <si>
    <t>Kreek Rustgouger</t>
  </si>
  <si>
    <t>Max Spleenripper</t>
  </si>
  <si>
    <t>Chainsaw, Loner (4+), Secret Weapon</t>
  </si>
  <si>
    <t xml:space="preserve">MAXIMUM CARNAGE: Once per game, after Max performs a chainsaw attack special action he may immediately perform another Chainsaw attack special action that targets a different opposition player. </t>
  </si>
  <si>
    <t>I'LL BE BACK!: The first time in a game that Kreek Rustgouger would be Sent-off as per the Secret Weapon trait, he is not Sent-off and instead may continue as part of the game.</t>
  </si>
  <si>
    <t>Ball and Chain, Loner (4+), Mighty Blow (+1), No Hands, Prehensile Tail, Secret Weapon</t>
  </si>
  <si>
    <t>INCORPOREAL: Once per game, after making an Agility test to dodge, Gretchen may choose to modify the dice roll by adding her Strength characteristic to it.</t>
  </si>
  <si>
    <t>Gretchen Wächter</t>
  </si>
  <si>
    <t>ID</t>
  </si>
  <si>
    <t>Qty</t>
  </si>
  <si>
    <t>List of available rosters</t>
  </si>
  <si>
    <t>Special Star Player Ability:</t>
  </si>
  <si>
    <t>Select Star Player</t>
  </si>
  <si>
    <t>Builder version:</t>
  </si>
  <si>
    <t>Team 2</t>
  </si>
  <si>
    <t>Team 3</t>
  </si>
  <si>
    <t>Team 4</t>
  </si>
  <si>
    <t>Squad Name:</t>
  </si>
  <si>
    <t>NAF ID</t>
  </si>
  <si>
    <t>NAF Number</t>
  </si>
  <si>
    <t>Treasury</t>
  </si>
  <si>
    <t>Star fee</t>
  </si>
  <si>
    <t>Team building rules</t>
  </si>
  <si>
    <r>
      <rPr>
        <b/>
        <u/>
        <sz val="11"/>
        <rFont val="Calibri"/>
        <family val="2"/>
        <scheme val="minor"/>
      </rPr>
      <t>Available pages</t>
    </r>
    <r>
      <rPr>
        <u/>
        <sz val="11"/>
        <rFont val="Calibri"/>
        <family val="2"/>
        <scheme val="minor"/>
      </rPr>
      <t xml:space="preserve"> (click to access)</t>
    </r>
    <r>
      <rPr>
        <b/>
        <u/>
        <sz val="11"/>
        <rFont val="Calibri"/>
        <family val="2"/>
        <scheme val="minor"/>
      </rPr>
      <t>:</t>
    </r>
    <r>
      <rPr>
        <sz val="11"/>
        <rFont val="Calibri"/>
        <family val="2"/>
        <scheme val="minor"/>
      </rPr>
      <t xml:space="preserve">
</t>
    </r>
  </si>
  <si>
    <t>Date</t>
  </si>
  <si>
    <t>Comments</t>
  </si>
  <si>
    <t>Eagle Warrior Linewoman</t>
  </si>
  <si>
    <t>Python Warrior Thrower</t>
  </si>
  <si>
    <t>Piranha Warrior Blitzer</t>
  </si>
  <si>
    <t>Jaguar Warrior Blocker</t>
  </si>
  <si>
    <t>Defensive, Dodge</t>
  </si>
  <si>
    <t>Dodge, Hit and Run, Jump Up</t>
  </si>
  <si>
    <t>Dodge, On the Ball, Pass, Safe Pass</t>
  </si>
  <si>
    <t>Norse Raider Lineman</t>
  </si>
  <si>
    <t>Block, Drunkard, Thick Skull</t>
  </si>
  <si>
    <t>APS</t>
  </si>
  <si>
    <t>Beer Boar</t>
  </si>
  <si>
    <t>Dodge, No Hands, Pick-me-up, Stunty, Titchy</t>
  </si>
  <si>
    <t>Valkyrie</t>
  </si>
  <si>
    <t>Catch, Dauntless, Pass, Strip Ball</t>
  </si>
  <si>
    <t>Fungus the Loon</t>
  </si>
  <si>
    <t>WHIRLING DERVISH!: Once per activation, Fungus may re-roll the D6 when determining which direction he moves in.</t>
  </si>
  <si>
    <t>Bomber Dribblesnot</t>
  </si>
  <si>
    <t>KABOOM!: Once per game, if an opponent player catches a Bomb thrown by Bomber, you can choose to have it explode immediately rather than rolling to see if the player can throw it again.</t>
  </si>
  <si>
    <t>Barik Farblast</t>
  </si>
  <si>
    <t>Bryce 'The Slice' Cambuel</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</si>
  <si>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</si>
  <si>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action due to the Frenzy skill, this second Block action will also benefit from this rule.</t>
  </si>
  <si>
    <t>BLAST IT!: Once per game, when Barik Farblast uses the Hail Mary skill, he may reroll any scatter results for determining where the ball lands, and any friendly player attempting to catch the ball gains an additional +1 modifier to the roll.</t>
  </si>
  <si>
    <t>Scyla Anfingrimm</t>
  </si>
  <si>
    <t>Skrorg Snowpelt</t>
  </si>
  <si>
    <t>FURY OF THE BLOOD GOD: Once per game, if Scyla rolls a 1 for the Unchannelled Fury roll after declaring a Block action, instead of applying the usual effects of Unchannelled Fury, Scyla may perform two Block action instead.</t>
  </si>
  <si>
    <t>NUR</t>
  </si>
  <si>
    <t>KHO</t>
  </si>
  <si>
    <t>CHA</t>
  </si>
  <si>
    <t>FAVKHO</t>
  </si>
  <si>
    <t>FAVNUR</t>
  </si>
  <si>
    <t>PUMP UP THE CROWD: Once per game, when Skrorg causes an opposition player to be removed as a casualty as the result of a Block action, Skrorg’s controlling coach gains one team re-roll. If this re-roll has not been used by the end of the drive, it is lost.</t>
  </si>
  <si>
    <t>Thorsson Stoutmead</t>
  </si>
  <si>
    <t>Ivar Eriksson</t>
  </si>
  <si>
    <t>Favoured of Khorne</t>
  </si>
  <si>
    <t>Lustrian Superleague
Old World Classic</t>
  </si>
  <si>
    <t>LSLOWC</t>
  </si>
  <si>
    <t>OWCSSL</t>
  </si>
  <si>
    <t>HTCOWC</t>
  </si>
  <si>
    <t>BACBLB</t>
  </si>
  <si>
    <t>BACBLBUWC</t>
  </si>
  <si>
    <t>Bribery and Corruption
Badlands Brawl</t>
  </si>
  <si>
    <t>Bribery and Corruption
Badlands Brawl
Low Cost Lineman</t>
  </si>
  <si>
    <t>Badlands Brawl
Low Cost Lineman
Old World Classic</t>
  </si>
  <si>
    <t>Halfling Thimble Cup
Old World Classic</t>
  </si>
  <si>
    <t>Old World Classic
Sylvanian Spotlight</t>
  </si>
  <si>
    <t>Special</t>
  </si>
  <si>
    <t>Special extd</t>
  </si>
  <si>
    <t>Extra cost</t>
  </si>
  <si>
    <t>Extra cost #</t>
  </si>
  <si>
    <t>BACBLBLCLUWC</t>
  </si>
  <si>
    <t>Bribery and Corruption
Low Cost Lineman
Underworld Challenge</t>
  </si>
  <si>
    <t>Bribery and Corruption
Underworld Challenge</t>
  </si>
  <si>
    <t>Bribery and Corruption
Badlands Brawl
Low Cost Lineman
Underworld Challenge</t>
  </si>
  <si>
    <t>FAVUWC</t>
  </si>
  <si>
    <t>ELK</t>
  </si>
  <si>
    <t>HTCOWCWES</t>
  </si>
  <si>
    <t>HTCLSLOWCWES</t>
  </si>
  <si>
    <t>HTCLSLOWC</t>
  </si>
  <si>
    <t>BACBLBEKLHTCLCLLSLMOUOWCSSLUWCWESFAV</t>
  </si>
  <si>
    <t>BACBLBEKLHTCLCLLSLMOUOWCUWCWESFAV</t>
  </si>
  <si>
    <t>SSLWES</t>
  </si>
  <si>
    <t>LSLEKL</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</si>
  <si>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</si>
  <si>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Masters of Undeath</t>
  </si>
  <si>
    <t>Plays for</t>
  </si>
  <si>
    <t>Race check</t>
  </si>
  <si>
    <t>Bilerot Vomitflesh</t>
  </si>
  <si>
    <t>Dirty Player (+1), Disturbing Presence, Foul Appearance, Loner (4+)</t>
  </si>
  <si>
    <t>Claws, Dauntless, Dodge, Frenzy, Jump Up, Loner (4+), No Hands, Sidestep, Stunty, Titchy</t>
  </si>
  <si>
    <t>Hail Mary Pass, Loner (4+), Pass, Secret Weapon, Cannoneer, Sure Hands, Thick Skull</t>
  </si>
  <si>
    <t>Accurate, Bombardier, Dodge, Loner (4+), Right Stuff, Secret Weapon, Stunty</t>
  </si>
  <si>
    <t>Chainsaw, Loner (4+), Regeneration, Secret Weapon, Stand Firm, Thick Skull</t>
  </si>
  <si>
    <t>Block, Loner (4+), Mighty Blow (+2), Stand Firm, Strong Arm, Thick Skull, Throw Team-mate, Timmm-ber!</t>
  </si>
  <si>
    <t>Catch, Dodge, Hypnotic Gaze, Loner (4+), Nerves of Steel, On the Ball</t>
  </si>
  <si>
    <t>Break Tackle, Loner (4+), Mighty Blow (+1), Regeneration, Stand Firm, Thick Skull</t>
  </si>
  <si>
    <t>Ball and Chain, Mighty Blow (+1), Loner (4+), No Hands, Secret Weapon, Stunty</t>
  </si>
  <si>
    <t>Block, Claws, Grab, Juggernaut, Loner (4+), Stand Firm</t>
  </si>
  <si>
    <t>Accurate, Dodge, Loner (3+), Pass, Sidestep, Sure Hands</t>
  </si>
  <si>
    <t>Bone Head, Kick Team-mate, Loner (4+), Mighty Blow (+1), Thick Skull</t>
  </si>
  <si>
    <t>Dodge, Loner (4+), Right Stuff, Stunty, Sure Hands</t>
  </si>
  <si>
    <t>Frenzy, Horns, Loner (4+), Mighty Blow (+1), Thick Skull, Unchannelled Fury</t>
  </si>
  <si>
    <t>Disturbing Presence, Dodge, Foul Appearance, Jump Up, Loner (4+), No Hands, Regeneration, Shadowing, Sidestep</t>
  </si>
  <si>
    <t>Block, Dodge, Fend, Loner (3+), Sprint, Sure Feet</t>
  </si>
  <si>
    <t>Block, Dauntless, Frenzy, Loner (4+), Multiple Block, Thick Skull</t>
  </si>
  <si>
    <t>Block, Dauntless, Loner (4+), Mighty Blow (+1), Stand Firm, Thick Skull</t>
  </si>
  <si>
    <t>Dodge, Extra Arms, Loner (4+), Prehensile Tail, Two Heads</t>
  </si>
  <si>
    <t>Chainsaw, Loner (4+), Pro, Secret Weapon, Stand Firm</t>
  </si>
  <si>
    <t>Block, Guard, Loner (3+), Tackle</t>
  </si>
  <si>
    <t>Block, Dauntless, Dodge, Jump Up, Loner (4+)</t>
  </si>
  <si>
    <t>Block, Dirty Player (+2), Loner (4+), Mighty Blow (+1), Sneaky Git</t>
  </si>
  <si>
    <t>Block, Loner (4+), Mighty Blow (+1)</t>
  </si>
  <si>
    <t>Block, Loner (4+), Mighty Blow (+2), Thick Skull, Throw Team-mate</t>
  </si>
  <si>
    <t>Dodge, Frenzy, Jump Up, Juggernaut, Leap, Loner (4+)</t>
  </si>
  <si>
    <t>Block, Horns, Juggernaut, Loner (4+), No Hands, Tackle, Thick Skull</t>
  </si>
  <si>
    <t>Claws, Frenzy, Loner (4+), Mighty Blow (+1), Prehensile Tail, Thick Skull, Unchannelled Fury</t>
  </si>
  <si>
    <t>Claws, Disturbing Presence, Juggernaut, Loner (4+), Mighty Blow (+1)</t>
  </si>
  <si>
    <t>Accurate, Loner (4+), Nerves of Steel, Pass, Regeneration, Sure Hands, Thick Skull</t>
  </si>
  <si>
    <t>Block, Loner (4+), Mighty Blow (+1), Tackle</t>
  </si>
  <si>
    <t>Accurate, Loner (4+), Nerves of Steel, Pass, Safe Pass, Sure Hands</t>
  </si>
  <si>
    <t>Bombardier, Disturbing Presence, Dodge, Loner (3+), Sidestep, Sneaky Git, Stab, Stunty</t>
  </si>
  <si>
    <t>Block, Drunkard, Loner (4+), Thick Skull</t>
  </si>
  <si>
    <t>Block, Jump Up, Loner (4+), Mighty Blow (+1), Thick Skull</t>
  </si>
  <si>
    <t>Catch, Claws, Frenzy, Loner (4+), Regeneration, Wrestle</t>
  </si>
  <si>
    <t>Dauntless, Loner (4+), Sidestep, Thick Skull</t>
  </si>
  <si>
    <t>Disturbing Presence, Juggernaut, Loner (4+), Mighty Blow (+1), Prehensile Tail, Regeneration, Sure Feet</t>
  </si>
  <si>
    <t>Boa Kon’ssstriktr</t>
  </si>
  <si>
    <t>Dodge, Hypnotic Gaze, Loner (4+), Prehensile Tail, Safe Pair Of Hands, Sidestep</t>
  </si>
  <si>
    <t>Captain Karina von Riesz</t>
  </si>
  <si>
    <t>Bloodlust (2+), Dodge, Hypnotic Gaze, Jump Up, Loner (4+), Regeneration</t>
  </si>
  <si>
    <t>Cindy Piewhistle</t>
  </si>
  <si>
    <t>Accurate, Bombardier, Dodge, Loner (4+), Secret Weapon, Stunty</t>
  </si>
  <si>
    <t>Count Luthor von Drakenborg</t>
  </si>
  <si>
    <t>Block, Hypnotic Gaze, Loner (4+), Regeneration, Sidestep</t>
  </si>
  <si>
    <t>STAR OF THE SHOW: Once per game, when Count Luthor scores a touchdown, his controlling coach may gain one team re-roll. If this re-roll has not been used by the end of the next drive, it is lost.</t>
  </si>
  <si>
    <t>Allowed</t>
  </si>
  <si>
    <t>yes</t>
  </si>
  <si>
    <t>D&amp;D: Dribl</t>
  </si>
  <si>
    <t>D&amp;D: Drull</t>
  </si>
  <si>
    <t>no</t>
  </si>
  <si>
    <t>Dirty Player (+1), Dodge, Loner (4+), Sidestep, Sneaky Git, Stunty</t>
  </si>
  <si>
    <t>Dodge, Loner (4+), Sidestep, Stab, Stunty</t>
  </si>
  <si>
    <t>Estelle la Veneaux</t>
  </si>
  <si>
    <t>Disturbing Presence, Dodge, Guard, Loner (4+), Sidestep</t>
  </si>
  <si>
    <t>Glotl Stop</t>
  </si>
  <si>
    <t>Animal Savagery, Frenzy, Loner (4+), Mighty Blow (+1), Prehensile Tail, Stand Firm, Thick Skull</t>
  </si>
  <si>
    <t>PRIMAL SAVAGERY: Once per game, when. Glotl fails an Animal Savagery roll, it may lash out at an opposition player rather than a team-mate</t>
  </si>
  <si>
    <t>A SNEAKY PAIR: Dribl e Drull must be hired as a pair and count as two Star Players. Additionally, whenever Dribl or Drull perform either a Stab or Foul action against an opposition player marked by both Dribl &amp; Drull, they may apply a +1 modifier to the injury roll.</t>
  </si>
  <si>
    <t>TASTY MORSEL: Once per game, when Karina fails a Bloodlust roll, she may choose to bite an opposition player with a ST of 3 or lower as if they were a Thrall Lineman team-mate. Karina may not bite Star Players with this special rule.</t>
  </si>
  <si>
    <t>PUTRID REGURGITATION: Once per game, Bilerot may use the Projectile Vomit Special Action. This may still be used even if Bilerot has already performed a Block action this turn.</t>
  </si>
  <si>
    <t>LOOK INTO MY EYES: Once per game, if Boa starts his activation marking an opposition player with the ball, he may roll a D6. On a 1, nothing happens. On a 2+ the opposition player loses possession of the ball, Boa immediately gains possession of the ball and Boa’s activation immediately ends.</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</si>
  <si>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</si>
  <si>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BALEFUL HEX: One per game, at the beginning of Estelle’s activation, choose an opposition player within five squares and roll a D6. On a 2+ the chosen player loses their Tackle Zone and cannot be activated until the end of the opposition’s next team turn.</t>
  </si>
  <si>
    <t>Ivan 'the Animal' Deathshroud</t>
  </si>
  <si>
    <t>DWARFEN SCOURGE: Once per game, when an opposition player is Knocked Down as a result of a Block action performed by Ivan, you may apply an additional +1 modifier to the Armour roll or Injury roll. If this is against a Dwarfen player from any team, this may instead be a +2 modifier.</t>
  </si>
  <si>
    <t>Block, Disturbing Presence, Juggernaut, Loner (4+), Regeneration, Strip Ball, Tackle</t>
  </si>
  <si>
    <t>Kiroth Krakeneye</t>
  </si>
  <si>
    <t>Disturbing Presence, Foul Appearance, Loner (4+), On the Ball, Tackle, Tentacles</t>
  </si>
  <si>
    <t>BLACK INK: Once per game, at the star of any of his activations, Kiroth can choose an opposition player he is marking. The chosen player loses their Tackle Zone until they are next activated.</t>
  </si>
  <si>
    <t>Nobbla Blackwart</t>
  </si>
  <si>
    <t>Puggy Baconbreath</t>
  </si>
  <si>
    <t>Ripper Bolgrot</t>
  </si>
  <si>
    <t>KICK ’EM WHILE THEY'RE DOWN!: Once per game, Nobbla may use the Chainsaw Attack Special action against a Prone or Stunned opposition player. This does not count as a Foul action and so Nobbla cannot be Sent-off when using this ability.</t>
  </si>
  <si>
    <t>HALFLING LUCK: nce per game, Puggy may re-roll one dice that was rolled either as a single dice, or as part of a dice pool (this cannot be a dice that was rolled part of an Armour, Injury, or Casualty roll).</t>
  </si>
  <si>
    <t>THINKING MAN'S TROLL: Once per half, Ripper may re-roll one dice that was rolled either as a single dice, as part of a multiple dice pool (this cannot be a dice that was rolled as part of an Armour, Injury or Casualty roll).</t>
  </si>
  <si>
    <t>Block, Chainsaw, Dodge, Loner (4+), Secret Weapon, Stunty</t>
  </si>
  <si>
    <t>Block, Dodge, Loner (3+), Nerves of Steel, Right Stuff, Stunty</t>
  </si>
  <si>
    <t>Grab, Loner (4+), Mighty Blow (+1), Regeneration, Throw Team-mate</t>
  </si>
  <si>
    <t>Rodney Roachbait</t>
  </si>
  <si>
    <t>Catch, Diving Catch, Jump Up, Loner (4+), On the Ball, Sidestep, Stunty, Wrestle</t>
  </si>
  <si>
    <t>CATCH OF THE DAY: Once per half, if Rodney is standing and begins his activation within 3 squares of a ball which is on the ground he may roll a D6. On a 1-2, nothing happens. On a 3+, Rodney immediately gains possession of the ball.</t>
  </si>
  <si>
    <t>Roxanna Darknail</t>
  </si>
  <si>
    <t>Rowana Forestfoot</t>
  </si>
  <si>
    <t>Dodge, Dump-off, Guard, Horns, Jump Up, Leap, Loner (4+)</t>
  </si>
  <si>
    <t>BOUNDING LEAP: Once per game, after declaring that she will leap but before rolling any dice, Rowana may choose to use this special rule. If she does, Rowana suffers no negative modifiers for the agility test to leap, and may choose to re-roll the result.</t>
  </si>
  <si>
    <t>Scrappa Sorehead</t>
  </si>
  <si>
    <t>Dirty Player (+1), Dodge, Loner (4+), Pogo Stick, Right Stuff, Sprint, Stunty, Sure Feet</t>
  </si>
  <si>
    <t>YOINK!: Once per game, when Scrappa attempts to interfere with a Pass action, he may roll a D6. On a 2+, Scrappa does not need to roll to interfere with the Pass action, instead he automatically makes an Interception and gains control of the ball.</t>
  </si>
  <si>
    <t>Skitter Stab-stab</t>
  </si>
  <si>
    <t>MASTER ASSASSIN: Once per game, when Skitter successfully breaks an opposition player's armour as a result of a Stab Special action, he may choose to re-roll the Injury roll.</t>
  </si>
  <si>
    <t>Dodge, Loner (4+), Prehensile Tail, Shadowing, Stab</t>
  </si>
  <si>
    <t>Withergrasp Doubledrool</t>
  </si>
  <si>
    <t>Loner (4+), Prehensile Tail, Tackle, Tentacles, Two Heads, Wrestle</t>
  </si>
  <si>
    <t>WATCH OUT!: The first time each half that Withergrasp is the target of an opposition player’s Block action, he counts as having the Dodge skill.</t>
  </si>
  <si>
    <t>Positions</t>
  </si>
  <si>
    <t>VA03</t>
  </si>
  <si>
    <t>VA04</t>
  </si>
  <si>
    <t>VA05</t>
  </si>
  <si>
    <t>Vampire Runner</t>
  </si>
  <si>
    <t>Vampire Thrower</t>
  </si>
  <si>
    <t>Vargheist</t>
  </si>
  <si>
    <t>Bloodlust (2+), Hypnotic Gaze, Regeneration</t>
  </si>
  <si>
    <t>Bloodlust (3+), Claws, Frenzy, Loner (4+), Regeneration</t>
  </si>
  <si>
    <t>Bloodlust (2+), Hypnotic Gaze, Pass, Regeneration</t>
  </si>
  <si>
    <t>Bloodlust (3+), Hypnotic Gaze, Juggernaut, Regeneration</t>
  </si>
  <si>
    <t>Blessings</t>
  </si>
  <si>
    <t>Spartan (no effect)</t>
  </si>
  <si>
    <t>Artemis (1 SP to allow stacking: 1x [Tier 1/2], 2x [Tier 3/4], 3x [Tier 5/6])</t>
  </si>
  <si>
    <t>Stacking</t>
  </si>
  <si>
    <t>Used</t>
  </si>
  <si>
    <t>Skill Points</t>
  </si>
  <si>
    <t>Secondary Skills</t>
  </si>
  <si>
    <t>Available</t>
  </si>
  <si>
    <t>Skill points</t>
  </si>
  <si>
    <t>Blessing</t>
  </si>
  <si>
    <t>Athena check</t>
  </si>
  <si>
    <t>Skill Stacks</t>
  </si>
  <si>
    <t>Occurence skill upgrade</t>
  </si>
  <si>
    <t>Athena (free skill point if no chosen skill is more than 3x in roster)</t>
  </si>
  <si>
    <t>Squad Points</t>
  </si>
  <si>
    <t>Josef Bugman</t>
  </si>
  <si>
    <t>Weather Mage</t>
  </si>
  <si>
    <t>Team Mascot</t>
  </si>
  <si>
    <t>Not available</t>
  </si>
  <si>
    <t>Hermes (30K per unused skill point, up to 1200K)</t>
  </si>
  <si>
    <t>Ares (star player access for 1 SP / 100K value)</t>
  </si>
  <si>
    <t>Player check</t>
  </si>
  <si>
    <t>Skill checks</t>
  </si>
  <si>
    <t xml:space="preserve">Unless this team is a Vampire team, this team may not hire an Apothecary. This team is allowed to induce a Mortuary Assistant. </t>
  </si>
  <si>
    <t>Points</t>
  </si>
  <si>
    <t>Blessing check</t>
  </si>
  <si>
    <t>Artemis</t>
  </si>
  <si>
    <t>Ares</t>
  </si>
  <si>
    <t>Athena</t>
  </si>
  <si>
    <t>Hermes</t>
  </si>
  <si>
    <t>Highest</t>
  </si>
  <si>
    <t>Point check</t>
  </si>
  <si>
    <t>Point budget</t>
  </si>
  <si>
    <t>Chaos Dwarves, Dark Elves, Dwarves, Lizardmen, Shambling Undead, Underworld Denizens:</t>
  </si>
  <si>
    <t>TV 1150K, 6 Skill Points, max. 1 Secondary Skill</t>
  </si>
  <si>
    <t>Amazons, Norse, Orcs, Skaven, Wood Elves:</t>
  </si>
  <si>
    <t>TV 1160K, 7 Skill Points, max. 1 Secondary Skill</t>
  </si>
  <si>
    <t>High Elves, Humans, Necromantic Horror, Tomb Kings, Elven Union, Vampires:</t>
  </si>
  <si>
    <t>TV 1170K, 8 Skill Points, max. 2 Secondary Skills</t>
  </si>
  <si>
    <t>Chaos Renegades, Khorne, Old World Alliance, Slann:</t>
  </si>
  <si>
    <t>TV 1180K, 9 Skill Points, max. 2 Secondary Skills</t>
  </si>
  <si>
    <t>Black Orcs, Chaos Chosen, Imperial Nobility, Nurgle:</t>
  </si>
  <si>
    <t>TV 1190K, 10 Skill Points, max. 3 Secondary Skills</t>
  </si>
  <si>
    <t>Goblins, Ogres, Halflings, Snotlings:</t>
  </si>
  <si>
    <t>TV 1200K, 11 Skill Points, unlimited Secondary Skills</t>
  </si>
  <si>
    <t>• Bribes 0-3 (Bribes can't be purchased if a team player has the 'Sneaky Git' or 'Secret Weapon' skill. Goblins and Snotlings with 'Secret Weapon' (but not 'Sneaky Git') players may still purchase bribes)</t>
  </si>
  <si>
    <t>The only permitted inducements are:</t>
  </si>
  <si>
    <t>• Team Mascot 0-1</t>
  </si>
  <si>
    <t>• Weather Mage 0-2</t>
  </si>
  <si>
    <t>• Josef Bugman 0-1</t>
  </si>
  <si>
    <t>Each team has a tier-dependent budget to hire players, rerolls, assistant coaches, cheerleaders, apothecaries and dedicated fans.</t>
  </si>
  <si>
    <t>A roster must have a minimum of 11 players and a maximum of 16 players.</t>
  </si>
  <si>
    <t>Per default, each player may receive only one skill upgrade (see Blessing section for more details).</t>
  </si>
  <si>
    <t>See the Star Player section for info how to hire a Star Player.</t>
  </si>
  <si>
    <t>Primary Skills cost 1 SP.</t>
  </si>
  <si>
    <t>Secondary Skills cost 2 SP.</t>
  </si>
  <si>
    <t>Tier 1 (Zeus)</t>
  </si>
  <si>
    <t>Tier 2 (Hera)</t>
  </si>
  <si>
    <t>Tier 3 (Poseidon)</t>
  </si>
  <si>
    <t>Tier 4 (Demeter)</t>
  </si>
  <si>
    <t>Tier 5 (Hades)</t>
  </si>
  <si>
    <t>Tier 6 (Hestia)</t>
  </si>
  <si>
    <t>Each team needs to follow team building rules as laid out below.</t>
  </si>
  <si>
    <t>Each squad is composed of 8 teams (Eurobowl) or 4 teams (EurOpen). No race may be chosen more than once.</t>
  </si>
  <si>
    <t>Costs</t>
  </si>
  <si>
    <r>
      <rPr>
        <i/>
        <sz val="11"/>
        <color rgb="FF101010"/>
        <rFont val="Calibri"/>
        <family val="2"/>
        <scheme val="minor"/>
      </rPr>
      <t>Blessing of Hermes</t>
    </r>
    <r>
      <rPr>
        <sz val="11"/>
        <color rgb="FF101010"/>
        <rFont val="Calibri"/>
        <family val="2"/>
        <scheme val="minor"/>
      </rPr>
      <t>: 1 Squad Point</t>
    </r>
  </si>
  <si>
    <r>
      <rPr>
        <i/>
        <sz val="11"/>
        <color rgb="FF101010"/>
        <rFont val="Calibri"/>
        <family val="2"/>
        <scheme val="minor"/>
      </rPr>
      <t>Blessing of Artemis</t>
    </r>
    <r>
      <rPr>
        <sz val="11"/>
        <color rgb="FF101010"/>
        <rFont val="Calibri"/>
        <family val="2"/>
        <scheme val="minor"/>
      </rPr>
      <t>: 1 Squad Point</t>
    </r>
  </si>
  <si>
    <r>
      <rPr>
        <i/>
        <sz val="11"/>
        <color rgb="FF101010"/>
        <rFont val="Calibri"/>
        <family val="2"/>
        <scheme val="minor"/>
      </rPr>
      <t>Blessing of Ares</t>
    </r>
    <r>
      <rPr>
        <sz val="11"/>
        <color rgb="FF101010"/>
        <rFont val="Calibri"/>
        <family val="2"/>
        <scheme val="minor"/>
      </rPr>
      <t>: 2 Squad Points</t>
    </r>
  </si>
  <si>
    <r>
      <rPr>
        <i/>
        <sz val="11"/>
        <color rgb="FF101010"/>
        <rFont val="Calibri"/>
        <family val="2"/>
        <scheme val="minor"/>
      </rPr>
      <t>Blessing of Athena</t>
    </r>
    <r>
      <rPr>
        <sz val="11"/>
        <color rgb="FF101010"/>
        <rFont val="Calibri"/>
        <family val="2"/>
        <scheme val="minor"/>
      </rPr>
      <t>: 2 Squad Points</t>
    </r>
  </si>
  <si>
    <t>Teams also receive tier-dependent Skill Points (SP) that can be spent to add skills to players:</t>
  </si>
  <si>
    <t>Additionally, each squad can spend Squad Points on Blessings.</t>
  </si>
  <si>
    <t>Each squad can spend up to 8 Squad Points (Eurobowl) or 4 Squad Points (EurOpen) on Blessings.</t>
  </si>
  <si>
    <r>
      <t>No blessing (Spartan):</t>
    </r>
    <r>
      <rPr>
        <sz val="11"/>
        <color theme="1"/>
        <rFont val="Calibri"/>
        <family val="2"/>
        <scheme val="minor"/>
      </rPr>
      <t xml:space="preserve"> 0 Squad Points</t>
    </r>
  </si>
  <si>
    <t>A team may apply no or one Blessing, and each Blessing may not be taken more than twice (Eurobowl) or once (EurOpen) per squad.</t>
  </si>
  <si>
    <t>Blessing of Hermes (1 Squad Point)</t>
  </si>
  <si>
    <t>Blessing of Artemis (1 Squad Point)</t>
  </si>
  <si>
    <r>
      <t>One or more Skill Points can be exchanged for gold at a ratio of</t>
    </r>
    <r>
      <rPr>
        <b/>
        <sz val="11"/>
        <color theme="1"/>
        <rFont val="Calibri"/>
        <family val="2"/>
        <scheme val="minor"/>
      </rPr>
      <t xml:space="preserve"> 30K per 1SP</t>
    </r>
    <r>
      <rPr>
        <sz val="11"/>
        <color theme="1"/>
        <rFont val="Calibri"/>
        <family val="2"/>
        <scheme val="minor"/>
      </rPr>
      <t>. This may not take the team value above 1200K.</t>
    </r>
  </si>
  <si>
    <t>The number of players with stacked skills is limited as follows:</t>
  </si>
  <si>
    <t>1 Skill Stack for Tier 1 and 2.</t>
  </si>
  <si>
    <t>3 Skill Stacks for Tier 5 and 6.</t>
  </si>
  <si>
    <t>2 Skill Stacks for Tier 3 and 4.</t>
  </si>
  <si>
    <t>This Blessing cost one Skill Point and allows rostered players to receive a second additional skill.</t>
  </si>
  <si>
    <t>The regular skill costs and maximum number of Secondary Skills apply.</t>
  </si>
  <si>
    <t>Blessing of Ares (2 Squad Points)</t>
  </si>
  <si>
    <t>Every Star Player acquired costs additional Skill Points as follows:</t>
  </si>
  <si>
    <t>Star Players in pairs count as two Star Players for the roster.</t>
  </si>
  <si>
    <t>Star Player cost of 300 to 399K: 4 Skill Points</t>
  </si>
  <si>
    <t>Star Player cost of 200 to 299K: 3 Skill Points</t>
  </si>
  <si>
    <t>Star Player cost of 100 to 199K: 2 Skill Points</t>
  </si>
  <si>
    <t>Star Player cost of 000 to 099K: 1 Skill Point</t>
  </si>
  <si>
    <t>If both coaches field the same Star Player, this Star Player will not play.</t>
  </si>
  <si>
    <t>The following Star Players are not available for hire:</t>
  </si>
  <si>
    <t>Griff Oberwald, Hakflem Skuttlespike, Morg 'n' Thorg, Bomber Dribblesnot, Cindy Piewhistle, Deeproot Strongbranch, Kreek Rustgouger, Estelle La Veneaux, Dribl &amp; Drull, Varag Ghoul-Chewer.</t>
  </si>
  <si>
    <t>Teams may roster a single (Tiers 1 to 4) or up to two (Tiers 5 and 6) ) Star Players.</t>
  </si>
  <si>
    <t>Blessing of Athena (2 Squad Points)</t>
  </si>
  <si>
    <t>Teams receive a free Skill Point, as long as no additional Skill is available more than three times in the roster. This includes starting skills.</t>
  </si>
  <si>
    <t>Full ruleset available at http://www.eurobowl.eu/2024/default.asp?p=37</t>
  </si>
  <si>
    <t>27.04.2024</t>
  </si>
  <si>
    <t>Official Release</t>
  </si>
  <si>
    <t>Based on Tojurub's 2019 World Cup Builder.</t>
  </si>
  <si>
    <t>Created by Stimme (stimme@thenaf.net).</t>
  </si>
  <si>
    <r>
      <rPr>
        <b/>
        <u/>
        <sz val="11"/>
        <rFont val="Calibri"/>
        <family val="2"/>
        <scheme val="minor"/>
      </rPr>
      <t>Instructions:</t>
    </r>
    <r>
      <rPr>
        <sz val="11"/>
        <rFont val="Calibri"/>
        <family val="2"/>
        <scheme val="minor"/>
      </rPr>
      <t xml:space="preserve">
Enter your squad name on this page.
When entering your roster on the individual Team pages, first select a Race, then a Blessing.
</t>
    </r>
    <r>
      <rPr>
        <i/>
        <sz val="11"/>
        <rFont val="Calibri"/>
        <family val="2"/>
        <scheme val="minor"/>
      </rPr>
      <t>Tip: the best way to reset player positions and skills is to select multiple cells and hit "Del" on your keyboard.</t>
    </r>
  </si>
  <si>
    <t>List of available skills</t>
  </si>
  <si>
    <t>RAIDING PARTY!: Once per drive, whenever Ivar begins his activation, he may choose one Open player on his team within five squares. The chosen player may immediately move one square, ignoring Tackle Zones, though they must end this move Marking an opposition player.</t>
  </si>
  <si>
    <r>
      <rPr>
        <b/>
        <u/>
        <sz val="11"/>
        <rFont val="Calibri"/>
        <family val="2"/>
        <scheme val="minor"/>
      </rPr>
      <t>General Information:</t>
    </r>
    <r>
      <rPr>
        <sz val="11"/>
        <rFont val="Calibri"/>
        <family val="2"/>
        <scheme val="minor"/>
      </rPr>
      <t xml:space="preserve">
This page shows an overview of all teams that are playing in your squad.
There are 4 pages named 'Team 1' to 'Team 4', where coaches can enter their rosters.
The captain should always be on page' Team 1'.</t>
    </r>
  </si>
  <si>
    <t>01.05.2024</t>
  </si>
  <si>
    <t>Fixed Athena issue where max. primary skill number is not raised.</t>
  </si>
  <si>
    <t>Reduced allowed Blessings to one each.</t>
  </si>
  <si>
    <t>Added conditional formatting in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</si>
</sst>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 &quot;gp&quot;"/>
    <numFmt numFmtId="166" formatCode="&quot;x &quot;#,##0\ &quot;gp =&quot;"/>
    <numFmt numFmtId="167" formatCode="_-* #,##0_-;\-* #,##0_-;_-* &quot;-&quot;??_-;_-@_-"/>
  </numFmts>
  <fonts count="28" x14ac:knownFonts="1">
    <font>
      <sz val="11"/>
      <color theme="1"/>
      <name val="Calibri"/>
      <family val="2"/>
      <scheme val="minor"/>
    </font>
    <font>
      <b/>
      <sz val="11"/>
      <color theme="1"/>
      <name val="Calibri"/>
      <family val="2"/>
      <scheme val="minor"/>
    </font>
    <font>
      <sz val="8"/>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b/>
      <sz val="9"/>
      <color theme="1"/>
      <name val="Calibri"/>
      <family val="2"/>
      <scheme val="minor"/>
    </font>
    <font>
      <b/>
      <u/>
      <sz val="11"/>
      <name val="Calibri"/>
      <family val="2"/>
      <scheme val="minor"/>
    </font>
    <font>
      <sz val="18"/>
      <color theme="1"/>
      <name val="Calibri"/>
      <family val="2"/>
      <scheme val="minor"/>
    </font>
    <font>
      <u/>
      <sz val="11"/>
      <color theme="1"/>
      <name val="Calibri"/>
      <family val="2"/>
      <scheme val="minor"/>
    </font>
    <font>
      <sz val="9"/>
      <color rgb="FF000000"/>
      <name val="Calibri"/>
      <family val="2"/>
      <scheme val="minor"/>
    </font>
    <font>
      <b/>
      <sz val="9"/>
      <color rgb="FF000000"/>
      <name val="Calibri"/>
      <family val="2"/>
      <scheme val="minor"/>
    </font>
    <font>
      <sz val="9"/>
      <color rgb="FFFFFFFF"/>
      <name val="Calibri"/>
      <family val="2"/>
      <scheme val="minor"/>
    </font>
    <font>
      <b/>
      <sz val="14"/>
      <color rgb="FF000000"/>
      <name val="Calibri"/>
      <family val="2"/>
      <scheme val="minor"/>
    </font>
    <font>
      <b/>
      <sz val="11"/>
      <name val="Calibri"/>
      <family val="2"/>
      <scheme val="minor"/>
    </font>
    <font>
      <u/>
      <sz val="11"/>
      <color theme="10"/>
      <name val="Calibri"/>
      <family val="2"/>
      <scheme val="minor"/>
    </font>
    <font>
      <u/>
      <sz val="11"/>
      <name val="Calibri"/>
      <family val="2"/>
      <scheme val="minor"/>
    </font>
    <font>
      <b/>
      <i/>
      <sz val="11"/>
      <color rgb="FF101010"/>
      <name val="Calibri"/>
      <family val="2"/>
      <scheme val="minor"/>
    </font>
    <font>
      <sz val="11"/>
      <color rgb="FF101010"/>
      <name val="Calibri"/>
      <family val="2"/>
      <scheme val="minor"/>
    </font>
    <font>
      <b/>
      <i/>
      <sz val="11"/>
      <color theme="1"/>
      <name val="Calibri"/>
      <family val="2"/>
      <scheme val="minor"/>
    </font>
    <font>
      <i/>
      <sz val="11"/>
      <color theme="1"/>
      <name val="Calibri"/>
      <family val="2"/>
      <scheme val="minor"/>
    </font>
    <font>
      <b/>
      <sz val="36"/>
      <color theme="1"/>
      <name val="Calibri"/>
      <family val="2"/>
      <scheme val="minor"/>
    </font>
    <font>
      <b/>
      <sz val="28"/>
      <color theme="4" tint="-0.249977111117893"/>
      <name val="Century Gothic"/>
      <family val="2"/>
    </font>
    <font>
      <b/>
      <sz val="24"/>
      <color theme="4" tint="-0.249977111117893"/>
      <name val="Century Gothic"/>
      <family val="2"/>
    </font>
    <font>
      <sz val="11"/>
      <color theme="1"/>
      <name val="Calibri"/>
      <family val="2"/>
      <scheme val="minor"/>
    </font>
    <font>
      <i/>
      <sz val="11"/>
      <color rgb="FF101010"/>
      <name val="Calibri"/>
      <family val="2"/>
      <scheme val="minor"/>
    </font>
    <font>
      <i/>
      <sz val="11"/>
      <name val="Calibri"/>
      <family val="2"/>
      <scheme val="minor"/>
    </font>
  </fonts>
  <fills count="2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2F2F2"/>
        <bgColor indexed="64"/>
      </patternFill>
    </fill>
    <fill>
      <patternFill patternType="solid">
        <fgColor rgb="FFBFBFBF"/>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rgb="FFFF000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gradientFill type="path" left="0.5" right="0.5" top="0.5" bottom="0.5">
        <stop position="0">
          <color theme="4" tint="0.80001220740379042"/>
        </stop>
        <stop position="1">
          <color theme="0"/>
        </stop>
      </gradientFill>
    </fill>
    <fill>
      <patternFill patternType="solid">
        <fgColor theme="8" tint="0.59999389629810485"/>
        <bgColor indexed="64"/>
      </patternFill>
    </fill>
    <fill>
      <patternFill patternType="solid">
        <fgColor theme="6" tint="0.59999389629810485"/>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43" fontId="25" fillId="0" borderId="0" applyFont="0" applyFill="0" applyBorder="0" applyAlignment="0" applyProtection="0"/>
  </cellStyleXfs>
  <cellXfs count="38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vertical="top"/>
    </xf>
    <xf numFmtId="0" fontId="0" fillId="0" borderId="0" xfId="0" quotePrefix="1"/>
    <xf numFmtId="0" fontId="0" fillId="0" borderId="0" xfId="0" applyAlignment="1">
      <alignment vertical="center" wrapText="1"/>
    </xf>
    <xf numFmtId="0" fontId="0" fillId="3" borderId="0" xfId="0" applyFill="1"/>
    <xf numFmtId="0" fontId="0" fillId="3" borderId="0" xfId="0" applyFill="1" applyAlignment="1">
      <alignment vertical="center" wrapText="1"/>
    </xf>
    <xf numFmtId="0" fontId="0" fillId="3" borderId="0" xfId="0" applyFill="1" applyAlignme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3" borderId="0" xfId="0" applyFill="1" applyAlignment="1">
      <alignment wrapText="1"/>
    </xf>
    <xf numFmtId="0" fontId="0" fillId="3" borderId="0" xfId="0" applyFill="1" applyAlignment="1">
      <alignment horizontal="center"/>
    </xf>
    <xf numFmtId="0" fontId="0" fillId="4" borderId="5" xfId="0" applyFill="1" applyBorder="1" applyAlignment="1">
      <alignment horizontal="center" vertical="center"/>
    </xf>
    <xf numFmtId="0" fontId="0" fillId="4" borderId="10" xfId="0" applyFill="1" applyBorder="1" applyAlignment="1">
      <alignment horizontal="center" vertical="center"/>
    </xf>
    <xf numFmtId="0" fontId="0" fillId="4" borderId="34" xfId="0" applyFill="1" applyBorder="1" applyAlignment="1">
      <alignment horizontal="center" vertical="center"/>
    </xf>
    <xf numFmtId="0" fontId="0" fillId="3" borderId="2" xfId="0" applyFill="1" applyBorder="1"/>
    <xf numFmtId="164" fontId="0" fillId="4" borderId="34" xfId="0" applyNumberFormat="1" applyFill="1" applyBorder="1" applyAlignment="1">
      <alignment horizontal="center" vertical="center"/>
    </xf>
    <xf numFmtId="164" fontId="0" fillId="4" borderId="5" xfId="0" applyNumberFormat="1" applyFill="1" applyBorder="1" applyAlignment="1">
      <alignment horizontal="center" vertical="center"/>
    </xf>
    <xf numFmtId="164" fontId="0" fillId="4" borderId="10" xfId="0" applyNumberFormat="1" applyFill="1" applyBorder="1" applyAlignment="1">
      <alignment horizontal="center" vertical="center"/>
    </xf>
    <xf numFmtId="0" fontId="0" fillId="3" borderId="0" xfId="0" applyFill="1" applyAlignment="1">
      <alignment horizontal="left"/>
    </xf>
    <xf numFmtId="0" fontId="6" fillId="3" borderId="0" xfId="0" applyFont="1" applyFill="1"/>
    <xf numFmtId="0" fontId="6" fillId="3" borderId="0" xfId="0" applyFont="1" applyFill="1" applyAlignment="1">
      <alignment horizontal="center"/>
    </xf>
    <xf numFmtId="0" fontId="0" fillId="3" borderId="0" xfId="0" applyFill="1" applyAlignment="1">
      <alignment horizontal="center" vertical="top"/>
    </xf>
    <xf numFmtId="16" fontId="6" fillId="3" borderId="0" xfId="0" applyNumberFormat="1" applyFont="1" applyFill="1" applyAlignment="1">
      <alignment vertical="center"/>
    </xf>
    <xf numFmtId="0" fontId="11" fillId="9" borderId="2" xfId="0" applyFont="1" applyFill="1" applyBorder="1" applyAlignment="1">
      <alignment vertical="center" wrapText="1"/>
    </xf>
    <xf numFmtId="0" fontId="11" fillId="8" borderId="2" xfId="0" applyFont="1" applyFill="1" applyBorder="1" applyAlignment="1">
      <alignment vertical="center" wrapText="1"/>
    </xf>
    <xf numFmtId="0" fontId="11" fillId="9" borderId="8" xfId="0" applyFont="1" applyFill="1" applyBorder="1" applyAlignment="1">
      <alignment vertical="center" wrapText="1"/>
    </xf>
    <xf numFmtId="0" fontId="11" fillId="8" borderId="8" xfId="0" applyFont="1" applyFill="1" applyBorder="1" applyAlignment="1">
      <alignment vertical="center" wrapText="1"/>
    </xf>
    <xf numFmtId="0" fontId="11" fillId="9" borderId="7" xfId="0" applyFont="1" applyFill="1" applyBorder="1" applyAlignment="1">
      <alignment vertical="center" wrapText="1"/>
    </xf>
    <xf numFmtId="0" fontId="11" fillId="8" borderId="7" xfId="0" applyFont="1" applyFill="1" applyBorder="1" applyAlignment="1">
      <alignment vertical="center" wrapText="1"/>
    </xf>
    <xf numFmtId="0" fontId="11" fillId="8" borderId="9" xfId="0" applyFont="1" applyFill="1" applyBorder="1" applyAlignment="1">
      <alignment vertical="center" wrapText="1"/>
    </xf>
    <xf numFmtId="0" fontId="11" fillId="8" borderId="10" xfId="0" applyFont="1" applyFill="1" applyBorder="1" applyAlignment="1">
      <alignment vertical="center" wrapText="1"/>
    </xf>
    <xf numFmtId="0" fontId="11" fillId="8" borderId="11" xfId="0" applyFont="1" applyFill="1" applyBorder="1" applyAlignment="1">
      <alignment vertical="center" wrapText="1"/>
    </xf>
    <xf numFmtId="0" fontId="11" fillId="8" borderId="33" xfId="0" applyFont="1" applyFill="1" applyBorder="1" applyAlignment="1">
      <alignment vertical="center" wrapText="1"/>
    </xf>
    <xf numFmtId="0" fontId="11" fillId="8" borderId="34" xfId="0" applyFont="1" applyFill="1" applyBorder="1" applyAlignment="1">
      <alignment vertical="center" wrapText="1"/>
    </xf>
    <xf numFmtId="0" fontId="11" fillId="8" borderId="35" xfId="0" applyFont="1" applyFill="1" applyBorder="1" applyAlignment="1">
      <alignment vertical="center" wrapText="1"/>
    </xf>
    <xf numFmtId="0" fontId="11" fillId="8" borderId="22" xfId="0" applyFont="1" applyFill="1" applyBorder="1" applyAlignment="1">
      <alignment vertical="center" wrapText="1"/>
    </xf>
    <xf numFmtId="0" fontId="11" fillId="9" borderId="22" xfId="0" applyFont="1" applyFill="1" applyBorder="1" applyAlignment="1">
      <alignment vertical="center" wrapText="1"/>
    </xf>
    <xf numFmtId="0" fontId="11" fillId="7" borderId="22" xfId="0" applyFont="1" applyFill="1" applyBorder="1" applyAlignment="1">
      <alignment vertical="center" wrapText="1"/>
    </xf>
    <xf numFmtId="0" fontId="11" fillId="9" borderId="46" xfId="0" applyFont="1" applyFill="1" applyBorder="1" applyAlignment="1">
      <alignment vertical="center" wrapText="1"/>
    </xf>
    <xf numFmtId="0" fontId="11" fillId="14" borderId="22" xfId="0" applyFont="1" applyFill="1" applyBorder="1" applyAlignment="1">
      <alignment vertical="center" wrapText="1"/>
    </xf>
    <xf numFmtId="0" fontId="11" fillId="15" borderId="46" xfId="0" applyFont="1" applyFill="1" applyBorder="1" applyAlignment="1">
      <alignment vertical="center" wrapText="1"/>
    </xf>
    <xf numFmtId="0" fontId="13" fillId="12" borderId="22" xfId="0" applyFont="1" applyFill="1" applyBorder="1" applyAlignment="1">
      <alignment vertical="center" wrapText="1"/>
    </xf>
    <xf numFmtId="0" fontId="13" fillId="11" borderId="22" xfId="0" applyFont="1" applyFill="1" applyBorder="1" applyAlignment="1">
      <alignment vertical="center" wrapText="1"/>
    </xf>
    <xf numFmtId="0" fontId="13" fillId="13" borderId="22" xfId="0" applyFont="1" applyFill="1" applyBorder="1" applyAlignment="1">
      <alignment vertical="center" wrapText="1"/>
    </xf>
    <xf numFmtId="14" fontId="0" fillId="3" borderId="0" xfId="0" applyNumberFormat="1" applyFill="1" applyAlignment="1">
      <alignment horizontal="left"/>
    </xf>
    <xf numFmtId="0" fontId="0" fillId="3" borderId="2" xfId="0" applyFill="1" applyBorder="1" applyAlignment="1">
      <alignment horizontal="center" vertical="top"/>
    </xf>
    <xf numFmtId="0" fontId="0" fillId="3" borderId="2" xfId="0" applyFill="1" applyBorder="1" applyAlignment="1">
      <alignment vertical="top"/>
    </xf>
    <xf numFmtId="0" fontId="0" fillId="3" borderId="2" xfId="0" applyFill="1" applyBorder="1" applyAlignment="1">
      <alignment vertical="top" wrapText="1"/>
    </xf>
    <xf numFmtId="0" fontId="0" fillId="3" borderId="2" xfId="0" applyFill="1" applyBorder="1" applyAlignment="1">
      <alignment horizontal="center"/>
    </xf>
    <xf numFmtId="0" fontId="6" fillId="3" borderId="0" xfId="0" applyFont="1" applyFill="1" applyAlignment="1">
      <alignment vertical="top" wrapText="1"/>
    </xf>
    <xf numFmtId="0" fontId="0" fillId="0" borderId="0" xfId="0" applyAlignment="1">
      <alignment horizontal="center"/>
    </xf>
    <xf numFmtId="0" fontId="9" fillId="3" borderId="0" xfId="0" applyFont="1" applyFill="1" applyAlignment="1">
      <alignment vertical="center" wrapText="1"/>
    </xf>
    <xf numFmtId="0" fontId="0" fillId="2" borderId="7" xfId="0" applyFill="1" applyBorder="1" applyAlignment="1">
      <alignment horizontal="center"/>
    </xf>
    <xf numFmtId="0" fontId="0" fillId="2" borderId="33" xfId="0" applyFill="1" applyBorder="1" applyAlignment="1">
      <alignment horizontal="center"/>
    </xf>
    <xf numFmtId="0" fontId="0" fillId="4" borderId="45" xfId="0" applyFill="1" applyBorder="1" applyAlignment="1">
      <alignment horizontal="center" vertical="center"/>
    </xf>
    <xf numFmtId="164" fontId="0" fillId="4" borderId="45" xfId="0" applyNumberFormat="1" applyFill="1" applyBorder="1" applyAlignment="1">
      <alignment horizontal="center" vertical="center"/>
    </xf>
    <xf numFmtId="0" fontId="0" fillId="3" borderId="50" xfId="0" applyFill="1" applyBorder="1" applyAlignment="1">
      <alignment horizontal="left" vertical="top"/>
    </xf>
    <xf numFmtId="0" fontId="18" fillId="3" borderId="39" xfId="0" applyFont="1" applyFill="1" applyBorder="1"/>
    <xf numFmtId="0" fontId="19" fillId="3" borderId="55" xfId="0" applyFont="1" applyFill="1" applyBorder="1"/>
    <xf numFmtId="0" fontId="0" fillId="3" borderId="55" xfId="0" applyFill="1" applyBorder="1"/>
    <xf numFmtId="0" fontId="0" fillId="3" borderId="40" xfId="0" applyFill="1" applyBorder="1"/>
    <xf numFmtId="0" fontId="18" fillId="3" borderId="55" xfId="0" applyFont="1" applyFill="1" applyBorder="1"/>
    <xf numFmtId="0" fontId="0" fillId="3" borderId="50" xfId="0" applyFill="1" applyBorder="1" applyAlignment="1">
      <alignment horizontal="center" vertical="top"/>
    </xf>
    <xf numFmtId="0" fontId="0" fillId="16" borderId="0" xfId="0" applyFill="1" applyAlignment="1">
      <alignment vertical="center"/>
    </xf>
    <xf numFmtId="0" fontId="0" fillId="16" borderId="58" xfId="0" applyFill="1" applyBorder="1" applyAlignment="1">
      <alignment vertical="center"/>
    </xf>
    <xf numFmtId="0" fontId="0" fillId="16" borderId="59" xfId="0" applyFill="1" applyBorder="1" applyAlignment="1">
      <alignment vertical="center"/>
    </xf>
    <xf numFmtId="0" fontId="0" fillId="16" borderId="52" xfId="0" applyFill="1" applyBorder="1" applyAlignment="1">
      <alignment vertical="center"/>
    </xf>
    <xf numFmtId="0" fontId="0" fillId="16" borderId="49" xfId="0" applyFill="1" applyBorder="1" applyAlignment="1">
      <alignment vertical="center"/>
    </xf>
    <xf numFmtId="0" fontId="0" fillId="16" borderId="51" xfId="0" applyFill="1" applyBorder="1" applyAlignment="1">
      <alignment vertical="center"/>
    </xf>
    <xf numFmtId="0" fontId="1" fillId="0" borderId="0" xfId="0" applyFont="1"/>
    <xf numFmtId="0" fontId="0" fillId="16" borderId="58" xfId="0" applyFill="1" applyBorder="1"/>
    <xf numFmtId="0" fontId="0" fillId="16" borderId="0" xfId="0" applyFill="1" applyAlignment="1">
      <alignment horizontal="center" vertical="center" wrapText="1"/>
    </xf>
    <xf numFmtId="0" fontId="0" fillId="16" borderId="0" xfId="0" applyFill="1"/>
    <xf numFmtId="0" fontId="0" fillId="16" borderId="59" xfId="0" applyFill="1" applyBorder="1"/>
    <xf numFmtId="0" fontId="0" fillId="16" borderId="49" xfId="0" applyFill="1" applyBorder="1"/>
    <xf numFmtId="0" fontId="1" fillId="16" borderId="0" xfId="0" applyFont="1" applyFill="1" applyAlignment="1">
      <alignment horizontal="center" vertical="center" wrapText="1"/>
    </xf>
    <xf numFmtId="0" fontId="1" fillId="16" borderId="59" xfId="0" applyFont="1" applyFill="1" applyBorder="1" applyAlignment="1">
      <alignment vertical="center" wrapText="1"/>
    </xf>
    <xf numFmtId="0" fontId="0" fillId="16" borderId="59" xfId="0" applyFill="1" applyBorder="1" applyAlignment="1">
      <alignment horizontal="center" vertical="center"/>
    </xf>
    <xf numFmtId="0" fontId="0" fillId="16" borderId="0" xfId="0" applyFill="1" applyAlignment="1">
      <alignment wrapText="1"/>
    </xf>
    <xf numFmtId="0" fontId="1" fillId="6" borderId="58" xfId="0" applyFont="1" applyFill="1" applyBorder="1" applyAlignment="1">
      <alignment vertical="center" wrapText="1"/>
    </xf>
    <xf numFmtId="0" fontId="1" fillId="6" borderId="0" xfId="0" applyFont="1" applyFill="1" applyAlignment="1">
      <alignment vertical="center" wrapText="1"/>
    </xf>
    <xf numFmtId="0" fontId="1" fillId="6" borderId="0" xfId="0" applyFont="1" applyFill="1" applyAlignment="1">
      <alignment vertical="center"/>
    </xf>
    <xf numFmtId="0" fontId="0" fillId="6" borderId="0" xfId="0" applyFill="1" applyAlignment="1">
      <alignment vertical="center" wrapText="1"/>
    </xf>
    <xf numFmtId="0" fontId="0" fillId="6" borderId="59" xfId="0" applyFill="1" applyBorder="1" applyAlignment="1">
      <alignment vertical="center" wrapText="1"/>
    </xf>
    <xf numFmtId="0" fontId="1" fillId="6" borderId="58" xfId="0" applyFont="1" applyFill="1" applyBorder="1" applyAlignment="1">
      <alignment vertical="center"/>
    </xf>
    <xf numFmtId="0" fontId="1" fillId="6" borderId="0" xfId="0" applyFont="1" applyFill="1" applyAlignment="1">
      <alignment horizontal="center" vertical="center" wrapText="1"/>
    </xf>
    <xf numFmtId="0" fontId="1" fillId="6" borderId="0" xfId="0" applyFont="1" applyFill="1" applyAlignment="1">
      <alignment horizontal="center" vertical="center"/>
    </xf>
    <xf numFmtId="0" fontId="0" fillId="16" borderId="0" xfId="0" applyFill="1" applyAlignment="1">
      <alignment horizontal="center" vertical="center"/>
    </xf>
    <xf numFmtId="0" fontId="0" fillId="16" borderId="49" xfId="0" applyFill="1" applyBorder="1" applyAlignment="1">
      <alignment horizontal="center" vertical="center"/>
    </xf>
    <xf numFmtId="0" fontId="0" fillId="16" borderId="51" xfId="0" applyFill="1" applyBorder="1"/>
    <xf numFmtId="0" fontId="0" fillId="16" borderId="0" xfId="0" applyFill="1" applyAlignment="1">
      <alignment horizontal="center"/>
    </xf>
    <xf numFmtId="0" fontId="0" fillId="16" borderId="52" xfId="0" applyFill="1" applyBorder="1"/>
    <xf numFmtId="0" fontId="0" fillId="16" borderId="58" xfId="0" quotePrefix="1" applyFill="1" applyBorder="1"/>
    <xf numFmtId="0" fontId="0" fillId="6" borderId="0" xfId="0" applyFill="1"/>
    <xf numFmtId="0" fontId="1" fillId="6" borderId="0" xfId="0" applyFont="1" applyFill="1"/>
    <xf numFmtId="0" fontId="20" fillId="6" borderId="29" xfId="0" applyFont="1" applyFill="1" applyBorder="1" applyAlignment="1">
      <alignment vertical="center"/>
    </xf>
    <xf numFmtId="0" fontId="0" fillId="6" borderId="17" xfId="0" applyFill="1" applyBorder="1" applyAlignment="1">
      <alignment vertical="center"/>
    </xf>
    <xf numFmtId="0" fontId="0" fillId="6" borderId="17" xfId="0" applyFill="1" applyBorder="1"/>
    <xf numFmtId="0" fontId="0" fillId="6" borderId="3" xfId="0" applyFill="1" applyBorder="1"/>
    <xf numFmtId="0" fontId="0" fillId="6" borderId="3" xfId="0" applyFill="1" applyBorder="1" applyAlignment="1">
      <alignment vertical="center"/>
    </xf>
    <xf numFmtId="0" fontId="20" fillId="6" borderId="3" xfId="0" applyFont="1" applyFill="1" applyBorder="1" applyAlignment="1">
      <alignment vertical="center" wrapText="1"/>
    </xf>
    <xf numFmtId="0" fontId="20" fillId="6" borderId="17" xfId="0" applyFont="1" applyFill="1" applyBorder="1" applyAlignment="1">
      <alignment vertical="center" wrapText="1"/>
    </xf>
    <xf numFmtId="0" fontId="1" fillId="6" borderId="56" xfId="0" applyFont="1" applyFill="1" applyBorder="1" applyAlignment="1">
      <alignment horizontal="center" vertical="center"/>
    </xf>
    <xf numFmtId="0" fontId="0" fillId="6" borderId="58" xfId="0" applyFill="1" applyBorder="1" applyAlignment="1">
      <alignment horizontal="center" vertical="center" wrapText="1"/>
    </xf>
    <xf numFmtId="0" fontId="0" fillId="6" borderId="58" xfId="0" applyFill="1" applyBorder="1" applyAlignment="1">
      <alignment horizontal="center" vertical="center"/>
    </xf>
    <xf numFmtId="0" fontId="0" fillId="6" borderId="52" xfId="0" applyFill="1" applyBorder="1" applyAlignment="1">
      <alignment horizontal="center" vertical="center"/>
    </xf>
    <xf numFmtId="0" fontId="0" fillId="6" borderId="17" xfId="0" applyFill="1" applyBorder="1" applyAlignment="1">
      <alignment wrapText="1"/>
    </xf>
    <xf numFmtId="0" fontId="0" fillId="16" borderId="0" xfId="0" quotePrefix="1" applyFill="1"/>
    <xf numFmtId="0" fontId="0" fillId="16" borderId="59" xfId="0" quotePrefix="1" applyFill="1" applyBorder="1"/>
    <xf numFmtId="0" fontId="0" fillId="16" borderId="49" xfId="0" quotePrefix="1" applyFill="1" applyBorder="1"/>
    <xf numFmtId="0" fontId="0" fillId="3" borderId="0" xfId="0" applyFill="1" applyAlignment="1">
      <alignment vertical="top" wrapText="1"/>
    </xf>
    <xf numFmtId="0" fontId="1" fillId="0" borderId="0" xfId="0" applyFont="1" applyAlignment="1">
      <alignment horizontal="center" vertical="center"/>
    </xf>
    <xf numFmtId="0" fontId="0" fillId="0" borderId="0" xfId="0" applyAlignment="1">
      <alignment horizontal="center" vertical="center"/>
    </xf>
    <xf numFmtId="0" fontId="11" fillId="8" borderId="36" xfId="0" applyFont="1" applyFill="1" applyBorder="1" applyAlignment="1">
      <alignment vertical="center" wrapText="1"/>
    </xf>
    <xf numFmtId="0" fontId="13" fillId="10" borderId="36" xfId="0" applyFont="1" applyFill="1" applyBorder="1" applyAlignment="1">
      <alignment vertical="center" wrapText="1"/>
    </xf>
    <xf numFmtId="0" fontId="12" fillId="9" borderId="1" xfId="0" applyFont="1" applyFill="1" applyBorder="1" applyAlignment="1">
      <alignment horizontal="center" vertical="center" wrapText="1"/>
    </xf>
    <xf numFmtId="0" fontId="1" fillId="6" borderId="58" xfId="0" applyFont="1" applyFill="1" applyBorder="1" applyAlignment="1">
      <alignment horizontal="center" vertical="center"/>
    </xf>
    <xf numFmtId="0" fontId="0" fillId="3" borderId="0" xfId="0" applyFill="1" applyAlignment="1">
      <alignment horizontal="center" vertical="center"/>
    </xf>
    <xf numFmtId="0" fontId="21" fillId="3" borderId="0" xfId="0" applyFont="1" applyFill="1" applyAlignment="1">
      <alignment horizontal="left"/>
    </xf>
    <xf numFmtId="14" fontId="21" fillId="3" borderId="0" xfId="0" applyNumberFormat="1" applyFont="1" applyFill="1" applyAlignment="1">
      <alignment horizontal="left"/>
    </xf>
    <xf numFmtId="0" fontId="16" fillId="4" borderId="33" xfId="1" applyFill="1" applyBorder="1" applyAlignment="1">
      <alignment horizontal="center" vertical="center"/>
    </xf>
    <xf numFmtId="0" fontId="22" fillId="0" borderId="0" xfId="0" applyFont="1" applyAlignment="1">
      <alignment vertical="center"/>
    </xf>
    <xf numFmtId="0" fontId="22" fillId="3" borderId="0" xfId="0" applyFont="1" applyFill="1" applyAlignment="1">
      <alignment vertical="center"/>
    </xf>
    <xf numFmtId="0" fontId="0" fillId="2" borderId="33" xfId="0" applyFill="1" applyBorder="1" applyAlignment="1">
      <alignment horizontal="left" vertical="center" wrapText="1" indent="1"/>
    </xf>
    <xf numFmtId="0" fontId="0" fillId="2" borderId="34" xfId="0" applyFill="1" applyBorder="1" applyAlignment="1">
      <alignment horizontal="left" vertical="center" wrapText="1" indent="1"/>
    </xf>
    <xf numFmtId="0" fontId="0" fillId="2" borderId="35" xfId="0" applyFill="1" applyBorder="1" applyAlignment="1">
      <alignment horizontal="left" vertical="center" wrapText="1" indent="1"/>
    </xf>
    <xf numFmtId="0" fontId="0" fillId="2" borderId="2" xfId="0" applyFill="1" applyBorder="1" applyAlignment="1">
      <alignment horizontal="left" vertical="center" wrapText="1" indent="1"/>
    </xf>
    <xf numFmtId="0" fontId="0" fillId="2" borderId="8" xfId="0" applyFill="1" applyBorder="1" applyAlignment="1">
      <alignment horizontal="left" vertical="center" wrapText="1" indent="1"/>
    </xf>
    <xf numFmtId="0" fontId="0" fillId="2" borderId="9" xfId="0" applyFill="1" applyBorder="1" applyAlignment="1">
      <alignment horizontal="left" vertical="center" wrapText="1" indent="1"/>
    </xf>
    <xf numFmtId="0" fontId="0" fillId="2" borderId="10" xfId="0" applyFill="1" applyBorder="1" applyAlignment="1">
      <alignment horizontal="left" vertical="center" wrapText="1" indent="1"/>
    </xf>
    <xf numFmtId="0" fontId="0" fillId="2" borderId="11" xfId="0" applyFill="1" applyBorder="1" applyAlignment="1">
      <alignment horizontal="left" vertical="center" wrapText="1" indent="1"/>
    </xf>
    <xf numFmtId="0" fontId="0" fillId="4" borderId="8" xfId="0" applyFill="1" applyBorder="1" applyAlignment="1">
      <alignment horizontal="left" vertical="center" indent="1"/>
    </xf>
    <xf numFmtId="0" fontId="0" fillId="2" borderId="6" xfId="0" applyFill="1" applyBorder="1" applyAlignment="1">
      <alignment horizontal="left" vertical="center" indent="1"/>
    </xf>
    <xf numFmtId="0" fontId="0" fillId="6" borderId="57" xfId="0" applyFill="1" applyBorder="1"/>
    <xf numFmtId="0" fontId="1" fillId="6" borderId="56" xfId="0" applyFont="1" applyFill="1" applyBorder="1"/>
    <xf numFmtId="0" fontId="1" fillId="6" borderId="17" xfId="0" applyFont="1" applyFill="1" applyBorder="1"/>
    <xf numFmtId="0" fontId="21" fillId="3" borderId="0" xfId="0" applyFont="1" applyFill="1" applyAlignment="1">
      <alignment horizontal="right"/>
    </xf>
    <xf numFmtId="0" fontId="19" fillId="3" borderId="55" xfId="0" applyFont="1" applyFill="1" applyBorder="1" applyAlignment="1">
      <alignment wrapText="1"/>
    </xf>
    <xf numFmtId="0" fontId="0" fillId="3" borderId="50" xfId="0" applyFill="1" applyBorder="1" applyAlignment="1">
      <alignment horizontal="right" vertical="top"/>
    </xf>
    <xf numFmtId="0" fontId="0" fillId="3" borderId="50" xfId="0" applyFill="1" applyBorder="1" applyAlignment="1">
      <alignment horizontal="left" vertical="top" wrapText="1"/>
    </xf>
    <xf numFmtId="0" fontId="0" fillId="0" borderId="0" xfId="0" applyAlignment="1">
      <alignment vertical="top"/>
    </xf>
    <xf numFmtId="0" fontId="1" fillId="6" borderId="50" xfId="0" applyFont="1" applyFill="1" applyBorder="1" applyAlignment="1">
      <alignment vertical="center"/>
    </xf>
    <xf numFmtId="0" fontId="1" fillId="6" borderId="57" xfId="0" applyFont="1" applyFill="1" applyBorder="1" applyAlignment="1">
      <alignment horizontal="center" vertical="center"/>
    </xf>
    <xf numFmtId="0" fontId="16" fillId="4" borderId="67" xfId="1" applyFill="1" applyBorder="1" applyAlignment="1">
      <alignment horizontal="center" vertical="center"/>
    </xf>
    <xf numFmtId="0" fontId="6" fillId="2" borderId="7" xfId="0" applyFont="1" applyFill="1" applyBorder="1" applyAlignment="1">
      <alignment horizontal="center"/>
    </xf>
    <xf numFmtId="0" fontId="0" fillId="3" borderId="0" xfId="0" applyFill="1" applyAlignment="1">
      <alignment horizontal="left" vertical="top"/>
    </xf>
    <xf numFmtId="0" fontId="1" fillId="16" borderId="0" xfId="0" applyFont="1" applyFill="1"/>
    <xf numFmtId="0" fontId="0" fillId="4" borderId="0" xfId="0" applyFill="1" applyAlignment="1">
      <alignment horizontal="left" vertical="top" wrapText="1" indent="1"/>
    </xf>
    <xf numFmtId="0" fontId="1" fillId="16" borderId="72" xfId="0" applyFont="1" applyFill="1" applyBorder="1" applyAlignment="1">
      <alignment horizontal="center"/>
    </xf>
    <xf numFmtId="0" fontId="1" fillId="16" borderId="15" xfId="0" applyFont="1" applyFill="1" applyBorder="1" applyAlignment="1">
      <alignment horizontal="center"/>
    </xf>
    <xf numFmtId="0" fontId="1" fillId="16" borderId="70" xfId="0" applyFont="1" applyFill="1" applyBorder="1" applyAlignment="1">
      <alignment horizontal="center"/>
    </xf>
    <xf numFmtId="0" fontId="1" fillId="16" borderId="41" xfId="0" applyFont="1" applyFill="1" applyBorder="1" applyAlignment="1">
      <alignment horizontal="center"/>
    </xf>
    <xf numFmtId="0" fontId="0" fillId="16" borderId="18" xfId="0" quotePrefix="1" applyFill="1" applyBorder="1" applyAlignment="1">
      <alignment horizontal="center"/>
    </xf>
    <xf numFmtId="0" fontId="0" fillId="16" borderId="18" xfId="0" applyFill="1" applyBorder="1" applyAlignment="1">
      <alignment horizontal="center"/>
    </xf>
    <xf numFmtId="0" fontId="1" fillId="16" borderId="25" xfId="0" applyFont="1" applyFill="1" applyBorder="1" applyAlignment="1">
      <alignment horizontal="center"/>
    </xf>
    <xf numFmtId="0" fontId="0" fillId="16" borderId="16" xfId="0" applyFill="1" applyBorder="1" applyAlignment="1">
      <alignment horizontal="center"/>
    </xf>
    <xf numFmtId="0" fontId="0" fillId="16" borderId="26" xfId="0" applyFill="1" applyBorder="1" applyAlignment="1">
      <alignment horizontal="center"/>
    </xf>
    <xf numFmtId="0" fontId="0" fillId="16" borderId="3" xfId="0" applyFill="1" applyBorder="1" applyAlignment="1">
      <alignment horizontal="center"/>
    </xf>
    <xf numFmtId="0" fontId="20" fillId="6" borderId="58" xfId="0" applyFont="1" applyFill="1" applyBorder="1" applyAlignment="1">
      <alignment vertical="center"/>
    </xf>
    <xf numFmtId="0" fontId="20" fillId="6" borderId="0" xfId="0" applyFont="1" applyFill="1" applyAlignment="1">
      <alignment vertical="center"/>
    </xf>
    <xf numFmtId="167" fontId="0" fillId="16" borderId="49" xfId="2" applyNumberFormat="1" applyFont="1" applyFill="1" applyBorder="1" applyAlignment="1">
      <alignment horizontal="center"/>
    </xf>
    <xf numFmtId="0" fontId="0" fillId="16" borderId="49" xfId="2" applyNumberFormat="1" applyFont="1" applyFill="1" applyBorder="1" applyAlignment="1">
      <alignment horizontal="center"/>
    </xf>
    <xf numFmtId="0" fontId="0" fillId="6" borderId="56" xfId="0" applyFill="1" applyBorder="1"/>
    <xf numFmtId="0" fontId="1" fillId="6" borderId="50" xfId="0" applyFont="1" applyFill="1" applyBorder="1" applyAlignment="1">
      <alignment horizontal="center"/>
    </xf>
    <xf numFmtId="0" fontId="1" fillId="6" borderId="58" xfId="0" applyFont="1" applyFill="1" applyBorder="1"/>
    <xf numFmtId="0" fontId="0" fillId="16" borderId="0" xfId="2" applyNumberFormat="1" applyFont="1" applyFill="1" applyBorder="1" applyAlignment="1">
      <alignment horizontal="center"/>
    </xf>
    <xf numFmtId="0" fontId="0" fillId="16" borderId="59" xfId="0" applyFill="1" applyBorder="1" applyAlignment="1">
      <alignment horizontal="center"/>
    </xf>
    <xf numFmtId="0" fontId="1" fillId="6" borderId="52" xfId="0" applyFont="1" applyFill="1" applyBorder="1"/>
    <xf numFmtId="0" fontId="0" fillId="16" borderId="51" xfId="0" applyFill="1" applyBorder="1" applyAlignment="1">
      <alignment horizontal="center"/>
    </xf>
    <xf numFmtId="0" fontId="1" fillId="6" borderId="29" xfId="0" applyFont="1" applyFill="1" applyBorder="1"/>
    <xf numFmtId="0" fontId="1" fillId="6" borderId="59" xfId="0" applyFont="1" applyFill="1" applyBorder="1" applyAlignment="1">
      <alignment horizontal="center"/>
    </xf>
    <xf numFmtId="0" fontId="1" fillId="6" borderId="0" xfId="0" applyFont="1" applyFill="1" applyAlignment="1">
      <alignment horizontal="left" vertical="center"/>
    </xf>
    <xf numFmtId="0" fontId="0" fillId="16" borderId="0" xfId="0" applyFill="1" applyAlignment="1">
      <alignment horizontal="left" vertical="center"/>
    </xf>
    <xf numFmtId="0" fontId="0" fillId="16" borderId="49" xfId="0" applyFill="1" applyBorder="1" applyAlignment="1">
      <alignment horizontal="left" vertical="center"/>
    </xf>
    <xf numFmtId="165" fontId="1" fillId="4" borderId="34" xfId="2" applyNumberFormat="1" applyFont="1" applyFill="1" applyBorder="1" applyAlignment="1">
      <alignment horizontal="center" vertical="center" wrapText="1"/>
    </xf>
    <xf numFmtId="165" fontId="1" fillId="4" borderId="68" xfId="0" applyNumberFormat="1"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68"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26" xfId="0" applyFont="1" applyFill="1" applyBorder="1" applyAlignment="1">
      <alignment horizontal="center" vertical="center" wrapText="1"/>
    </xf>
    <xf numFmtId="0" fontId="0" fillId="2" borderId="23" xfId="0" applyFill="1" applyBorder="1" applyAlignment="1">
      <alignment horizontal="left" vertical="center" indent="1"/>
    </xf>
    <xf numFmtId="0" fontId="0" fillId="2" borderId="71" xfId="0" applyFill="1" applyBorder="1" applyAlignment="1">
      <alignment horizontal="left" vertical="center" indent="1"/>
    </xf>
    <xf numFmtId="0" fontId="0" fillId="2" borderId="24" xfId="0" applyFill="1" applyBorder="1" applyAlignment="1">
      <alignment horizontal="left" vertical="center" indent="1"/>
    </xf>
    <xf numFmtId="0" fontId="15" fillId="3" borderId="0" xfId="0" applyFont="1" applyFill="1" applyAlignment="1">
      <alignment vertical="center"/>
    </xf>
    <xf numFmtId="0" fontId="0" fillId="4" borderId="38" xfId="0" applyFill="1" applyBorder="1" applyAlignment="1">
      <alignment horizontal="left" vertical="center" indent="1"/>
    </xf>
    <xf numFmtId="0" fontId="1" fillId="18" borderId="37" xfId="0" applyFont="1" applyFill="1" applyBorder="1" applyAlignment="1">
      <alignment horizontal="center" vertical="center" wrapText="1"/>
    </xf>
    <xf numFmtId="0" fontId="1" fillId="18" borderId="19"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1" fillId="18" borderId="27" xfId="0" applyFont="1" applyFill="1" applyBorder="1" applyAlignment="1">
      <alignment horizontal="center" vertical="center" wrapText="1"/>
    </xf>
    <xf numFmtId="0" fontId="1" fillId="18" borderId="34" xfId="0" applyFont="1" applyFill="1" applyBorder="1" applyAlignment="1">
      <alignment horizontal="center" vertical="center" wrapText="1"/>
    </xf>
    <xf numFmtId="0" fontId="1" fillId="18" borderId="68" xfId="0" applyFont="1" applyFill="1" applyBorder="1" applyAlignment="1">
      <alignment horizontal="center" vertical="center" wrapText="1"/>
    </xf>
    <xf numFmtId="0" fontId="1" fillId="18" borderId="3" xfId="0" applyFont="1" applyFill="1" applyBorder="1" applyAlignment="1">
      <alignment horizontal="right" indent="1"/>
    </xf>
    <xf numFmtId="166" fontId="0" fillId="18" borderId="2" xfId="0" applyNumberFormat="1" applyFill="1" applyBorder="1" applyAlignment="1">
      <alignment horizontal="right" vertical="center" indent="1"/>
    </xf>
    <xf numFmtId="0" fontId="1" fillId="18" borderId="51" xfId="0" applyFont="1" applyFill="1" applyBorder="1" applyAlignment="1">
      <alignment horizontal="right" indent="1"/>
    </xf>
    <xf numFmtId="0" fontId="15" fillId="18" borderId="50" xfId="0" applyFont="1" applyFill="1" applyBorder="1" applyAlignment="1">
      <alignment horizontal="right" indent="1"/>
    </xf>
    <xf numFmtId="166" fontId="6" fillId="18" borderId="2" xfId="0" applyNumberFormat="1" applyFont="1" applyFill="1" applyBorder="1" applyAlignment="1">
      <alignment horizontal="right" vertical="center" indent="1"/>
    </xf>
    <xf numFmtId="165" fontId="0" fillId="19" borderId="3" xfId="0" applyNumberFormat="1" applyFill="1" applyBorder="1" applyAlignment="1">
      <alignment horizontal="right" vertical="center" indent="1"/>
    </xf>
    <xf numFmtId="165" fontId="0" fillId="19" borderId="57" xfId="0" applyNumberFormat="1" applyFill="1" applyBorder="1" applyAlignment="1">
      <alignment horizontal="right" vertical="center" indent="1"/>
    </xf>
    <xf numFmtId="165" fontId="0" fillId="19" borderId="54" xfId="0" applyNumberFormat="1" applyFill="1" applyBorder="1" applyAlignment="1">
      <alignment horizontal="right" vertical="center" indent="1"/>
    </xf>
    <xf numFmtId="165" fontId="0" fillId="19" borderId="46" xfId="0" applyNumberFormat="1" applyFill="1" applyBorder="1" applyAlignment="1">
      <alignment horizontal="right" vertical="center" indent="1"/>
    </xf>
    <xf numFmtId="0" fontId="1" fillId="5" borderId="12"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16" borderId="16" xfId="0" applyFont="1" applyFill="1" applyBorder="1"/>
    <xf numFmtId="0" fontId="1" fillId="16" borderId="16" xfId="0" applyFont="1" applyFill="1" applyBorder="1" applyAlignment="1">
      <alignment horizontal="center"/>
    </xf>
    <xf numFmtId="0" fontId="0" fillId="16" borderId="0" xfId="0" quotePrefix="1" applyFill="1" applyAlignment="1">
      <alignment horizontal="center"/>
    </xf>
    <xf numFmtId="0" fontId="1" fillId="16" borderId="0" xfId="0" applyFont="1" applyFill="1" applyAlignment="1">
      <alignment horizontal="center"/>
    </xf>
    <xf numFmtId="0" fontId="0" fillId="16" borderId="15" xfId="0" applyFill="1" applyBorder="1"/>
    <xf numFmtId="0" fontId="0" fillId="16" borderId="15" xfId="0" applyFill="1" applyBorder="1" applyAlignment="1">
      <alignment horizontal="center"/>
    </xf>
    <xf numFmtId="0" fontId="0" fillId="16" borderId="15" xfId="0" quotePrefix="1" applyFill="1" applyBorder="1" applyAlignment="1">
      <alignment horizontal="center"/>
    </xf>
    <xf numFmtId="0" fontId="0" fillId="16" borderId="17" xfId="0" applyFill="1" applyBorder="1" applyAlignment="1">
      <alignment horizontal="left"/>
    </xf>
    <xf numFmtId="0" fontId="0" fillId="16" borderId="3" xfId="0" applyFill="1" applyBorder="1" applyAlignment="1">
      <alignment horizontal="left"/>
    </xf>
    <xf numFmtId="0" fontId="1" fillId="6" borderId="57" xfId="0" applyFont="1" applyFill="1" applyBorder="1" applyAlignment="1">
      <alignment horizontal="center"/>
    </xf>
    <xf numFmtId="167" fontId="0" fillId="16" borderId="0" xfId="2" applyNumberFormat="1" applyFont="1" applyFill="1" applyBorder="1" applyAlignment="1">
      <alignment horizontal="center"/>
    </xf>
    <xf numFmtId="167" fontId="0" fillId="16" borderId="59" xfId="2" applyNumberFormat="1" applyFont="1" applyFill="1" applyBorder="1" applyAlignment="1">
      <alignment horizontal="center"/>
    </xf>
    <xf numFmtId="0" fontId="0" fillId="4" borderId="2" xfId="0" applyFill="1" applyBorder="1" applyAlignment="1">
      <alignment horizontal="center" vertical="center"/>
    </xf>
    <xf numFmtId="3" fontId="0" fillId="4" borderId="2" xfId="0" applyNumberFormat="1" applyFill="1" applyBorder="1" applyAlignment="1">
      <alignment horizontal="center" vertical="center"/>
    </xf>
    <xf numFmtId="165" fontId="0" fillId="4" borderId="2" xfId="0" applyNumberFormat="1" applyFill="1" applyBorder="1" applyAlignment="1">
      <alignment horizontal="center" vertical="center"/>
    </xf>
    <xf numFmtId="0" fontId="1" fillId="5" borderId="5" xfId="0" applyFont="1" applyFill="1" applyBorder="1" applyAlignment="1">
      <alignment horizontal="center" vertical="center" wrapText="1"/>
    </xf>
    <xf numFmtId="0" fontId="0" fillId="4" borderId="8" xfId="0" applyFill="1" applyBorder="1" applyAlignment="1">
      <alignment horizontal="center" vertical="center"/>
    </xf>
    <xf numFmtId="3" fontId="0" fillId="4" borderId="10" xfId="0" applyNumberFormat="1" applyFill="1" applyBorder="1" applyAlignment="1">
      <alignment horizontal="center" vertical="center"/>
    </xf>
    <xf numFmtId="165" fontId="0" fillId="4" borderId="10" xfId="0" applyNumberFormat="1" applyFill="1" applyBorder="1" applyAlignment="1">
      <alignment horizontal="center" vertical="center"/>
    </xf>
    <xf numFmtId="0" fontId="0" fillId="4" borderId="11" xfId="0" applyFill="1" applyBorder="1" applyAlignment="1">
      <alignment horizontal="center" vertical="center"/>
    </xf>
    <xf numFmtId="0" fontId="0" fillId="6" borderId="65" xfId="0" applyFill="1" applyBorder="1" applyAlignment="1">
      <alignment vertical="center"/>
    </xf>
    <xf numFmtId="0" fontId="0" fillId="6" borderId="56" xfId="0" applyFill="1" applyBorder="1" applyAlignment="1">
      <alignment vertical="center"/>
    </xf>
    <xf numFmtId="0" fontId="0" fillId="16" borderId="65" xfId="0" applyFill="1" applyBorder="1" applyAlignment="1">
      <alignment horizontal="center" vertical="center"/>
    </xf>
    <xf numFmtId="0" fontId="0" fillId="16" borderId="66" xfId="0" applyFill="1" applyBorder="1" applyAlignment="1">
      <alignment horizontal="center" vertical="center"/>
    </xf>
    <xf numFmtId="0" fontId="0" fillId="6" borderId="66" xfId="0" applyFill="1" applyBorder="1" applyAlignment="1">
      <alignment vertical="center"/>
    </xf>
    <xf numFmtId="0" fontId="0" fillId="6" borderId="52" xfId="0" applyFill="1" applyBorder="1" applyAlignment="1">
      <alignment vertical="center"/>
    </xf>
    <xf numFmtId="0" fontId="0" fillId="16" borderId="34" xfId="0" applyFill="1" applyBorder="1" applyAlignment="1">
      <alignment horizontal="center" vertical="center"/>
    </xf>
    <xf numFmtId="0" fontId="0" fillId="6" borderId="34" xfId="0" applyFill="1" applyBorder="1" applyAlignment="1">
      <alignment vertical="center"/>
    </xf>
    <xf numFmtId="0" fontId="16" fillId="3" borderId="0" xfId="1" applyFill="1" applyBorder="1" applyAlignment="1">
      <alignment vertical="top" wrapText="1"/>
    </xf>
    <xf numFmtId="0" fontId="16" fillId="3" borderId="0" xfId="1" applyFill="1" applyBorder="1" applyAlignment="1">
      <alignment vertical="top"/>
    </xf>
    <xf numFmtId="0" fontId="26" fillId="3" borderId="55" xfId="0" applyFont="1" applyFill="1" applyBorder="1"/>
    <xf numFmtId="0" fontId="26" fillId="3" borderId="40" xfId="0" applyFont="1" applyFill="1" applyBorder="1"/>
    <xf numFmtId="0" fontId="19" fillId="3" borderId="40" xfId="0" applyFont="1" applyFill="1" applyBorder="1" applyAlignment="1">
      <alignment wrapText="1"/>
    </xf>
    <xf numFmtId="0" fontId="21" fillId="3" borderId="55" xfId="0" applyFont="1" applyFill="1" applyBorder="1"/>
    <xf numFmtId="0" fontId="20" fillId="3" borderId="55" xfId="0" applyFont="1" applyFill="1" applyBorder="1"/>
    <xf numFmtId="0" fontId="21" fillId="3" borderId="0" xfId="0" applyFont="1" applyFill="1"/>
    <xf numFmtId="14" fontId="0" fillId="0" borderId="0" xfId="0" applyNumberFormat="1"/>
    <xf numFmtId="14" fontId="0" fillId="2" borderId="47" xfId="0" applyNumberFormat="1" applyFill="1" applyBorder="1" applyAlignment="1">
      <alignment horizontal="center" vertical="center"/>
    </xf>
    <xf numFmtId="14" fontId="0" fillId="2" borderId="13" xfId="0" applyNumberFormat="1" applyFill="1" applyBorder="1" applyAlignment="1">
      <alignment horizontal="center" vertical="center"/>
    </xf>
    <xf numFmtId="14" fontId="0" fillId="2" borderId="14" xfId="0" applyNumberFormat="1" applyFill="1" applyBorder="1" applyAlignment="1">
      <alignment horizontal="center" vertical="center"/>
    </xf>
    <xf numFmtId="0" fontId="15" fillId="3" borderId="0" xfId="0" applyFont="1" applyFill="1" applyAlignment="1">
      <alignment horizontal="left" vertical="center"/>
    </xf>
    <xf numFmtId="0" fontId="0" fillId="6" borderId="56" xfId="0" applyFill="1" applyBorder="1" applyAlignment="1">
      <alignment horizontal="center" vertical="center"/>
    </xf>
    <xf numFmtId="0" fontId="0" fillId="6" borderId="57" xfId="0" applyFill="1" applyBorder="1" applyAlignment="1">
      <alignment horizontal="center" vertical="center"/>
    </xf>
    <xf numFmtId="0" fontId="6" fillId="3" borderId="0" xfId="0" applyFont="1" applyFill="1" applyAlignment="1">
      <alignment horizontal="center"/>
    </xf>
    <xf numFmtId="0" fontId="6" fillId="3" borderId="0" xfId="0" applyFont="1" applyFill="1" applyAlignment="1">
      <alignment horizontal="left" vertical="top" wrapText="1"/>
    </xf>
    <xf numFmtId="16" fontId="6" fillId="3" borderId="0" xfId="0" applyNumberFormat="1" applyFont="1" applyFill="1" applyAlignment="1">
      <alignment horizontal="center" vertical="center"/>
    </xf>
    <xf numFmtId="0" fontId="6" fillId="3" borderId="0" xfId="0" applyFont="1" applyFill="1" applyAlignment="1">
      <alignment horizontal="center" vertical="center"/>
    </xf>
    <xf numFmtId="165" fontId="0" fillId="19" borderId="2" xfId="0" applyNumberFormat="1" applyFill="1" applyBorder="1" applyAlignment="1">
      <alignment horizontal="right" vertical="center" indent="1"/>
    </xf>
    <xf numFmtId="165" fontId="0" fillId="19" borderId="8" xfId="0" applyNumberFormat="1" applyFill="1" applyBorder="1" applyAlignment="1">
      <alignment horizontal="right" vertical="center" indent="1"/>
    </xf>
    <xf numFmtId="0" fontId="1" fillId="18" borderId="4" xfId="0" applyFont="1" applyFill="1" applyBorder="1" applyAlignment="1">
      <alignment horizontal="right" vertical="center" indent="1"/>
    </xf>
    <xf numFmtId="0" fontId="1" fillId="18" borderId="5" xfId="0" applyFont="1" applyFill="1" applyBorder="1" applyAlignment="1">
      <alignment horizontal="right" vertical="center" indent="1"/>
    </xf>
    <xf numFmtId="0" fontId="1" fillId="18" borderId="74" xfId="0" applyFont="1" applyFill="1" applyBorder="1" applyAlignment="1">
      <alignment horizontal="center" vertical="center"/>
    </xf>
    <xf numFmtId="0" fontId="1" fillId="18" borderId="17" xfId="0" applyFont="1" applyFill="1" applyBorder="1" applyAlignment="1">
      <alignment horizontal="center" vertical="center"/>
    </xf>
    <xf numFmtId="0" fontId="1" fillId="18" borderId="3" xfId="0" applyFont="1" applyFill="1" applyBorder="1" applyAlignment="1">
      <alignment horizontal="center" vertical="center"/>
    </xf>
    <xf numFmtId="0" fontId="1" fillId="18" borderId="64" xfId="0" applyFont="1" applyFill="1" applyBorder="1" applyAlignment="1">
      <alignment horizontal="center" vertical="center"/>
    </xf>
    <xf numFmtId="0" fontId="1" fillId="18" borderId="32" xfId="0" applyFont="1" applyFill="1" applyBorder="1" applyAlignment="1">
      <alignment horizontal="center" vertical="center"/>
    </xf>
    <xf numFmtId="0" fontId="1" fillId="18" borderId="21" xfId="0" applyFont="1" applyFill="1" applyBorder="1" applyAlignment="1">
      <alignment horizontal="center" vertical="center"/>
    </xf>
    <xf numFmtId="0" fontId="1" fillId="18" borderId="74" xfId="0" applyFont="1" applyFill="1" applyBorder="1" applyAlignment="1">
      <alignment horizontal="center" vertical="center" wrapText="1"/>
    </xf>
    <xf numFmtId="0" fontId="1" fillId="18" borderId="17"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1" fillId="18" borderId="7" xfId="0" applyFont="1" applyFill="1" applyBorder="1" applyAlignment="1">
      <alignment horizontal="right" vertical="center" indent="1"/>
    </xf>
    <xf numFmtId="0" fontId="1" fillId="18" borderId="2" xfId="0" applyFont="1" applyFill="1" applyBorder="1" applyAlignment="1">
      <alignment horizontal="right" vertical="center" indent="1"/>
    </xf>
    <xf numFmtId="0" fontId="1" fillId="18" borderId="9" xfId="0" applyFont="1" applyFill="1" applyBorder="1" applyAlignment="1">
      <alignment horizontal="right" vertical="center" indent="1"/>
    </xf>
    <xf numFmtId="0" fontId="1" fillId="18" borderId="10" xfId="0" applyFont="1" applyFill="1" applyBorder="1" applyAlignment="1">
      <alignment horizontal="right" vertical="center" indent="1"/>
    </xf>
    <xf numFmtId="0" fontId="1" fillId="18" borderId="67" xfId="0" applyFont="1" applyFill="1" applyBorder="1" applyAlignment="1">
      <alignment horizontal="right" vertical="center" indent="1"/>
    </xf>
    <xf numFmtId="0" fontId="1" fillId="18" borderId="45" xfId="0" applyFont="1" applyFill="1" applyBorder="1" applyAlignment="1">
      <alignment horizontal="right" vertical="center" indent="1"/>
    </xf>
    <xf numFmtId="0" fontId="0" fillId="4" borderId="41" xfId="0" applyFill="1" applyBorder="1" applyAlignment="1">
      <alignment horizontal="center" vertical="top" wrapText="1"/>
    </xf>
    <xf numFmtId="0" fontId="0" fillId="4" borderId="18" xfId="0" applyFill="1" applyBorder="1" applyAlignment="1">
      <alignment horizontal="center" vertical="top" wrapText="1"/>
    </xf>
    <xf numFmtId="0" fontId="0" fillId="4" borderId="25" xfId="0" applyFill="1" applyBorder="1" applyAlignment="1">
      <alignment horizontal="center" vertical="top" wrapText="1"/>
    </xf>
    <xf numFmtId="0" fontId="0" fillId="4" borderId="26" xfId="0" applyFill="1" applyBorder="1" applyAlignment="1">
      <alignment horizontal="center" vertical="top" wrapText="1"/>
    </xf>
    <xf numFmtId="0" fontId="3" fillId="4" borderId="28"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10" fillId="3" borderId="0" xfId="0" applyFont="1" applyFill="1" applyAlignment="1">
      <alignment horizontal="left"/>
    </xf>
    <xf numFmtId="0" fontId="1" fillId="16" borderId="17" xfId="0" applyFont="1" applyFill="1" applyBorder="1" applyAlignment="1">
      <alignment horizontal="center"/>
    </xf>
    <xf numFmtId="0" fontId="1" fillId="16" borderId="50" xfId="0" applyFont="1" applyFill="1" applyBorder="1" applyAlignment="1">
      <alignment horizontal="center"/>
    </xf>
    <xf numFmtId="0" fontId="1" fillId="16" borderId="57" xfId="0" applyFont="1" applyFill="1" applyBorder="1" applyAlignment="1">
      <alignment horizontal="center"/>
    </xf>
    <xf numFmtId="0" fontId="1" fillId="18" borderId="72" xfId="0" applyFont="1" applyFill="1" applyBorder="1" applyAlignment="1">
      <alignment horizontal="center"/>
    </xf>
    <xf numFmtId="0" fontId="1" fillId="18" borderId="70" xfId="0" applyFont="1" applyFill="1" applyBorder="1" applyAlignment="1">
      <alignment horizontal="center"/>
    </xf>
    <xf numFmtId="0" fontId="4" fillId="3" borderId="0" xfId="0" applyFont="1" applyFill="1" applyAlignment="1">
      <alignment horizontal="center" vertical="center"/>
    </xf>
    <xf numFmtId="0" fontId="4" fillId="3" borderId="16" xfId="0" applyFont="1" applyFill="1" applyBorder="1" applyAlignment="1">
      <alignment horizontal="center" vertical="center"/>
    </xf>
    <xf numFmtId="3" fontId="3" fillId="4" borderId="53" xfId="0" applyNumberFormat="1" applyFont="1" applyFill="1" applyBorder="1" applyAlignment="1">
      <alignment horizontal="center" vertical="center" wrapText="1"/>
    </xf>
    <xf numFmtId="3" fontId="3" fillId="4" borderId="20" xfId="0" applyNumberFormat="1" applyFont="1" applyFill="1" applyBorder="1" applyAlignment="1">
      <alignment horizontal="center" vertical="center" wrapText="1"/>
    </xf>
    <xf numFmtId="3" fontId="3" fillId="4" borderId="64" xfId="0" applyNumberFormat="1" applyFont="1" applyFill="1" applyBorder="1" applyAlignment="1">
      <alignment horizontal="center" vertical="center" wrapText="1"/>
    </xf>
    <xf numFmtId="3" fontId="3" fillId="4" borderId="21" xfId="0" applyNumberFormat="1" applyFont="1" applyFill="1" applyBorder="1" applyAlignment="1">
      <alignment horizontal="center" vertical="center" wrapText="1"/>
    </xf>
    <xf numFmtId="3" fontId="3" fillId="4" borderId="31" xfId="0" applyNumberFormat="1" applyFont="1" applyFill="1" applyBorder="1" applyAlignment="1">
      <alignment horizontal="center" vertical="center" wrapText="1"/>
    </xf>
    <xf numFmtId="3" fontId="3" fillId="4" borderId="23" xfId="0" applyNumberFormat="1" applyFont="1" applyFill="1" applyBorder="1" applyAlignment="1">
      <alignment horizontal="center" vertical="center" wrapText="1"/>
    </xf>
    <xf numFmtId="3" fontId="3" fillId="4" borderId="32" xfId="0" applyNumberFormat="1" applyFont="1" applyFill="1" applyBorder="1" applyAlignment="1">
      <alignment horizontal="center" vertical="center" wrapText="1"/>
    </xf>
    <xf numFmtId="3" fontId="3" fillId="4" borderId="24" xfId="0" applyNumberFormat="1" applyFont="1" applyFill="1" applyBorder="1" applyAlignment="1">
      <alignment horizontal="center" vertical="center" wrapText="1"/>
    </xf>
    <xf numFmtId="0" fontId="1" fillId="6" borderId="50" xfId="0" applyFont="1" applyFill="1" applyBorder="1" applyAlignment="1">
      <alignment horizontal="center" vertical="center" wrapText="1"/>
    </xf>
    <xf numFmtId="165" fontId="0" fillId="19" borderId="34" xfId="0" applyNumberFormat="1" applyFill="1" applyBorder="1" applyAlignment="1">
      <alignment horizontal="right" vertical="center" indent="1"/>
    </xf>
    <xf numFmtId="165" fontId="0" fillId="19" borderId="35" xfId="0" applyNumberFormat="1" applyFill="1" applyBorder="1" applyAlignment="1">
      <alignment horizontal="right" vertical="center" indent="1"/>
    </xf>
    <xf numFmtId="0" fontId="1" fillId="18" borderId="12" xfId="0" applyFont="1" applyFill="1" applyBorder="1" applyAlignment="1">
      <alignment horizontal="center" vertical="center"/>
    </xf>
    <xf numFmtId="0" fontId="1" fillId="18" borderId="13" xfId="0" applyFont="1" applyFill="1" applyBorder="1" applyAlignment="1">
      <alignment horizontal="center" vertical="center"/>
    </xf>
    <xf numFmtId="0" fontId="1" fillId="18" borderId="48" xfId="0" applyFont="1" applyFill="1" applyBorder="1" applyAlignment="1">
      <alignment horizontal="center" vertical="center"/>
    </xf>
    <xf numFmtId="0" fontId="1" fillId="18" borderId="73" xfId="0" applyFont="1" applyFill="1" applyBorder="1" applyAlignment="1">
      <alignment horizontal="center" vertical="center" wrapText="1"/>
    </xf>
    <xf numFmtId="0" fontId="1" fillId="18" borderId="49"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3" fillId="4" borderId="69" xfId="0" applyFont="1" applyFill="1" applyBorder="1" applyAlignment="1">
      <alignment horizontal="left" vertical="center" wrapText="1"/>
    </xf>
    <xf numFmtId="0" fontId="3" fillId="4" borderId="70" xfId="0" applyFont="1" applyFill="1" applyBorder="1" applyAlignment="1">
      <alignment horizontal="left" vertical="center" wrapText="1"/>
    </xf>
    <xf numFmtId="0" fontId="1" fillId="18" borderId="47" xfId="0" applyFont="1" applyFill="1" applyBorder="1" applyAlignment="1">
      <alignment horizontal="center" vertical="center" wrapText="1"/>
    </xf>
    <xf numFmtId="0" fontId="1" fillId="18" borderId="14" xfId="0" applyFont="1" applyFill="1" applyBorder="1" applyAlignment="1">
      <alignment horizontal="center" vertical="center" wrapText="1"/>
    </xf>
    <xf numFmtId="0" fontId="3" fillId="4" borderId="56" xfId="0" applyFont="1" applyFill="1" applyBorder="1" applyAlignment="1">
      <alignment horizontal="left" vertical="center" wrapText="1"/>
    </xf>
    <xf numFmtId="0" fontId="3" fillId="4" borderId="61" xfId="0" applyFont="1" applyFill="1" applyBorder="1" applyAlignment="1">
      <alignment horizontal="left" vertical="center" wrapText="1"/>
    </xf>
    <xf numFmtId="0" fontId="0" fillId="2" borderId="47" xfId="0" applyFill="1" applyBorder="1" applyAlignment="1">
      <alignment horizontal="left" vertical="center" indent="1"/>
    </xf>
    <xf numFmtId="0" fontId="0" fillId="2" borderId="14" xfId="0" applyFill="1" applyBorder="1" applyAlignment="1">
      <alignment horizontal="left" vertical="center" indent="1"/>
    </xf>
    <xf numFmtId="0" fontId="0" fillId="2" borderId="29" xfId="0" applyFill="1" applyBorder="1" applyAlignment="1">
      <alignment horizontal="left" vertical="center" wrapText="1" indent="1"/>
    </xf>
    <xf numFmtId="0" fontId="0" fillId="2" borderId="3" xfId="0" applyFill="1" applyBorder="1" applyAlignment="1">
      <alignment horizontal="left" vertical="center" wrapText="1" indent="1"/>
    </xf>
    <xf numFmtId="0" fontId="0" fillId="2" borderId="30"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0" xfId="0" applyFill="1" applyBorder="1" applyAlignment="1">
      <alignment horizontal="left" vertical="center" wrapText="1" indent="1"/>
    </xf>
    <xf numFmtId="0" fontId="3" fillId="4" borderId="52"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1" fillId="18" borderId="48" xfId="0" applyFont="1" applyFill="1" applyBorder="1" applyAlignment="1">
      <alignment horizontal="center" vertical="center" wrapText="1"/>
    </xf>
    <xf numFmtId="0" fontId="23" fillId="17" borderId="0" xfId="0" applyFont="1" applyFill="1" applyAlignment="1">
      <alignment horizontal="center" vertical="center"/>
    </xf>
    <xf numFmtId="0" fontId="24" fillId="17" borderId="0" xfId="0" applyFont="1" applyFill="1" applyAlignment="1">
      <alignment horizontal="center" vertical="center"/>
    </xf>
    <xf numFmtId="0" fontId="0" fillId="2" borderId="62" xfId="0" applyFill="1" applyBorder="1" applyAlignment="1">
      <alignment horizontal="left" vertical="center" wrapText="1" indent="1"/>
    </xf>
    <xf numFmtId="0" fontId="0" fillId="2" borderId="63" xfId="0" applyFill="1" applyBorder="1" applyAlignment="1">
      <alignment horizontal="left" vertical="center" wrapText="1" indent="1"/>
    </xf>
    <xf numFmtId="0" fontId="1" fillId="18" borderId="53" xfId="0" applyFont="1" applyFill="1" applyBorder="1" applyAlignment="1">
      <alignment horizontal="center"/>
    </xf>
    <xf numFmtId="0" fontId="1" fillId="18" borderId="31" xfId="0" applyFont="1" applyFill="1" applyBorder="1" applyAlignment="1">
      <alignment horizontal="center"/>
    </xf>
    <xf numFmtId="0" fontId="1" fillId="18" borderId="23" xfId="0" applyFont="1" applyFill="1" applyBorder="1" applyAlignment="1">
      <alignment horizontal="center"/>
    </xf>
    <xf numFmtId="0" fontId="0" fillId="4" borderId="60" xfId="0" applyFill="1" applyBorder="1" applyAlignment="1">
      <alignment horizontal="left" vertical="top" wrapText="1" indent="1"/>
    </xf>
    <xf numFmtId="0" fontId="0" fillId="4" borderId="50" xfId="0" applyFill="1" applyBorder="1" applyAlignment="1">
      <alignment horizontal="left" vertical="top" wrapText="1" indent="1"/>
    </xf>
    <xf numFmtId="0" fontId="0" fillId="4" borderId="61" xfId="0" applyFill="1" applyBorder="1" applyAlignment="1">
      <alignment horizontal="left" vertical="top" wrapText="1" indent="1"/>
    </xf>
    <xf numFmtId="0" fontId="0" fillId="4" borderId="41" xfId="0" applyFill="1" applyBorder="1" applyAlignment="1">
      <alignment horizontal="left" vertical="top" wrapText="1" indent="1"/>
    </xf>
    <xf numFmtId="0" fontId="0" fillId="4" borderId="0" xfId="0" applyFill="1" applyAlignment="1">
      <alignment horizontal="left" vertical="top" wrapText="1" indent="1"/>
    </xf>
    <xf numFmtId="0" fontId="0" fillId="4" borderId="18" xfId="0" applyFill="1" applyBorder="1" applyAlignment="1">
      <alignment horizontal="left" vertical="top" wrapText="1" indent="1"/>
    </xf>
    <xf numFmtId="0" fontId="0" fillId="4" borderId="25" xfId="0" applyFill="1" applyBorder="1" applyAlignment="1">
      <alignment horizontal="left" vertical="top" wrapText="1" indent="1"/>
    </xf>
    <xf numFmtId="0" fontId="0" fillId="4" borderId="16" xfId="0" applyFill="1" applyBorder="1" applyAlignment="1">
      <alignment horizontal="left" vertical="top" wrapText="1" indent="1"/>
    </xf>
    <xf numFmtId="0" fontId="0" fillId="4" borderId="26" xfId="0" applyFill="1" applyBorder="1" applyAlignment="1">
      <alignment horizontal="left" vertical="top" wrapText="1" indent="1"/>
    </xf>
    <xf numFmtId="0" fontId="1" fillId="18" borderId="12" xfId="0" applyFont="1" applyFill="1" applyBorder="1" applyAlignment="1">
      <alignment horizontal="right" indent="1"/>
    </xf>
    <xf numFmtId="0" fontId="1" fillId="18" borderId="13" xfId="0" applyFont="1" applyFill="1" applyBorder="1" applyAlignment="1">
      <alignment horizontal="right" indent="1"/>
    </xf>
    <xf numFmtId="0" fontId="1" fillId="18" borderId="48" xfId="0" applyFont="1" applyFill="1" applyBorder="1" applyAlignment="1">
      <alignment horizontal="right" indent="1"/>
    </xf>
    <xf numFmtId="165" fontId="1" fillId="19" borderId="13" xfId="0" applyNumberFormat="1" applyFont="1" applyFill="1" applyBorder="1" applyAlignment="1">
      <alignment horizontal="right" indent="1"/>
    </xf>
    <xf numFmtId="165" fontId="1" fillId="19" borderId="14" xfId="0" applyNumberFormat="1" applyFont="1" applyFill="1" applyBorder="1" applyAlignment="1">
      <alignment horizontal="right" indent="1"/>
    </xf>
    <xf numFmtId="165" fontId="6" fillId="19" borderId="2" xfId="0" applyNumberFormat="1" applyFont="1" applyFill="1" applyBorder="1" applyAlignment="1">
      <alignment horizontal="right" vertical="center" indent="1"/>
    </xf>
    <xf numFmtId="165" fontId="6" fillId="19" borderId="8" xfId="0" applyNumberFormat="1" applyFont="1" applyFill="1" applyBorder="1" applyAlignment="1">
      <alignment horizontal="right" vertical="center" indent="1"/>
    </xf>
    <xf numFmtId="165" fontId="0" fillId="19" borderId="48" xfId="0" applyNumberFormat="1" applyFill="1" applyBorder="1" applyAlignment="1">
      <alignment horizontal="right" vertical="center" indent="1"/>
    </xf>
    <xf numFmtId="165" fontId="0" fillId="19" borderId="19" xfId="0" applyNumberFormat="1" applyFill="1" applyBorder="1" applyAlignment="1">
      <alignment horizontal="right" vertical="center" indent="1"/>
    </xf>
    <xf numFmtId="165" fontId="0" fillId="19" borderId="27" xfId="0" applyNumberFormat="1" applyFill="1" applyBorder="1" applyAlignment="1">
      <alignment horizontal="right" vertical="center" indent="1"/>
    </xf>
    <xf numFmtId="0" fontId="5" fillId="5" borderId="29" xfId="0" applyFont="1" applyFill="1" applyBorder="1" applyAlignment="1">
      <alignment horizontal="left"/>
    </xf>
    <xf numFmtId="0" fontId="5" fillId="5" borderId="17" xfId="0" applyFont="1" applyFill="1" applyBorder="1" applyAlignment="1">
      <alignment horizontal="left"/>
    </xf>
    <xf numFmtId="0" fontId="5" fillId="5" borderId="3" xfId="0" applyFont="1" applyFill="1" applyBorder="1" applyAlignment="1">
      <alignment horizontal="left"/>
    </xf>
    <xf numFmtId="0" fontId="5" fillId="5" borderId="2" xfId="0" applyFont="1" applyFill="1" applyBorder="1" applyAlignment="1">
      <alignment horizontal="left"/>
    </xf>
    <xf numFmtId="0" fontId="0" fillId="3" borderId="2" xfId="0" applyFill="1" applyBorder="1" applyAlignment="1">
      <alignment horizontal="right" vertical="top"/>
    </xf>
    <xf numFmtId="0" fontId="0" fillId="3" borderId="2" xfId="0" applyFill="1" applyBorder="1" applyAlignment="1">
      <alignment horizontal="right"/>
    </xf>
    <xf numFmtId="0" fontId="0" fillId="3" borderId="2" xfId="0" applyFill="1" applyBorder="1" applyAlignment="1">
      <alignment horizontal="left" vertical="top" wrapText="1"/>
    </xf>
    <xf numFmtId="0" fontId="0" fillId="3" borderId="49" xfId="0" applyFill="1" applyBorder="1" applyAlignment="1">
      <alignment horizontal="center"/>
    </xf>
    <xf numFmtId="0" fontId="0" fillId="3" borderId="50" xfId="0" applyFill="1" applyBorder="1" applyAlignment="1">
      <alignment horizontal="left" vertical="top"/>
    </xf>
    <xf numFmtId="0" fontId="0" fillId="3" borderId="0" xfId="0" applyFill="1" applyAlignment="1">
      <alignment horizontal="center"/>
    </xf>
    <xf numFmtId="0" fontId="0" fillId="3" borderId="29" xfId="0" applyFill="1" applyBorder="1" applyAlignment="1">
      <alignment horizontal="right" vertical="top"/>
    </xf>
    <xf numFmtId="0" fontId="0" fillId="3" borderId="3" xfId="0" applyFill="1" applyBorder="1" applyAlignment="1">
      <alignment horizontal="right" vertical="top"/>
    </xf>
    <xf numFmtId="0" fontId="0" fillId="3" borderId="29" xfId="0" applyFill="1" applyBorder="1" applyAlignment="1">
      <alignment horizontal="right"/>
    </xf>
    <xf numFmtId="0" fontId="0" fillId="3" borderId="17" xfId="0" applyFill="1" applyBorder="1" applyAlignment="1">
      <alignment horizontal="right"/>
    </xf>
    <xf numFmtId="0" fontId="0" fillId="3" borderId="3" xfId="0" applyFill="1" applyBorder="1" applyAlignment="1">
      <alignment horizontal="right"/>
    </xf>
    <xf numFmtId="0" fontId="0" fillId="3" borderId="17" xfId="0" applyFill="1" applyBorder="1" applyAlignment="1">
      <alignment horizontal="right" vertical="top"/>
    </xf>
    <xf numFmtId="0" fontId="0" fillId="3" borderId="0" xfId="0" applyFill="1" applyAlignment="1">
      <alignment horizontal="left" vertical="top"/>
    </xf>
    <xf numFmtId="0" fontId="14" fillId="9" borderId="37"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4" fillId="9" borderId="42" xfId="0" applyFont="1" applyFill="1" applyBorder="1" applyAlignment="1">
      <alignment horizontal="center" vertical="center" wrapText="1"/>
    </xf>
    <xf numFmtId="0" fontId="4" fillId="9" borderId="43" xfId="0" applyFont="1" applyFill="1" applyBorder="1" applyAlignment="1">
      <alignment horizontal="center" vertical="center" wrapText="1"/>
    </xf>
    <xf numFmtId="0" fontId="4" fillId="9" borderId="44"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44" xfId="0" applyFont="1" applyFill="1" applyBorder="1" applyAlignment="1">
      <alignment horizontal="center" vertical="center" wrapText="1"/>
    </xf>
  </cellXfs>
  <cellStyles count="3">
    <cellStyle name="Comma" xfId="2" builtinId="3"/>
    <cellStyle name="Hyperlink" xfId="1" builtinId="8"/>
    <cellStyle name="Normal" xfId="0" builtinId="0"/>
  </cellStyles>
  <dxfs count="99">
    <dxf>
      <fill>
        <patternFill>
          <bgColor rgb="FFFF0000"/>
        </patternFill>
      </fill>
    </dxf>
    <dxf>
      <fill>
        <patternFill>
          <bgColor rgb="FFFF0000"/>
        </patternFill>
      </fill>
    </dxf>
    <dxf>
      <font>
        <color rgb="FFC00000"/>
      </font>
      <fill>
        <patternFill>
          <bgColor theme="5" tint="0.79998168889431442"/>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s>
  <tableStyles count="0" defaultTableStyle="TableStyleMedium2" defaultPivotStyle="PivotStyleLight16"/>
  <colors>
    <mruColors>
      <color rgb="FFFF7C80"/>
      <color rgb="FFFF5050"/>
      <color rgb="FFFF7979"/>
      <color rgb="FFFD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8" name="Picture 7">
          <a:extLst>
            <a:ext uri="{FF2B5EF4-FFF2-40B4-BE49-F238E27FC236}">
              <a16:creationId xmlns:a16="http://schemas.microsoft.com/office/drawing/2014/main" id="{F3776F2E-7D8E-4F6C-95A3-AD07C4DA51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68500" y="154781"/>
          <a:ext cx="1345406" cy="1264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E3B43CFF-35C6-4470-A4E0-E740EDE3B1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0F83CDCA-EBAB-4F95-801E-D4853B01C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2CBB9DAC-5D72-40E2-9599-AA585AE73D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ED1F-07E3-48AB-8A43-11CBD37EA45A}">
  <sheetPr>
    <tabColor rgb="FF00B050"/>
  </sheetPr>
  <dimension ref="B2:C6"/>
  <sheetViews>
    <sheetView workbookViewId="0">
      <selection activeCell="B6" sqref="B6:C6"/>
    </sheetView>
  </sheetViews>
  <sheetFormatPr defaultRowHeight="15" x14ac:dyDescent="0.25"/>
  <cols>
    <col min="2" max="2" width="10.140625" bestFit="1" customWidth="1"/>
    <col min="3" max="3" width="15" bestFit="1" customWidth="1"/>
  </cols>
  <sheetData>
    <row r="2" spans="2:3" x14ac:dyDescent="0.25">
      <c r="B2" s="72" t="s">
        <v>780</v>
      </c>
      <c r="C2" s="72" t="s">
        <v>781</v>
      </c>
    </row>
    <row r="3" spans="2:3" x14ac:dyDescent="0.25">
      <c r="B3" t="s">
        <v>1054</v>
      </c>
      <c r="C3" t="s">
        <v>1055</v>
      </c>
    </row>
    <row r="4" spans="2:3" x14ac:dyDescent="0.25">
      <c r="B4" t="s">
        <v>1062</v>
      </c>
      <c r="C4" t="s">
        <v>1063</v>
      </c>
    </row>
    <row r="5" spans="2:3" x14ac:dyDescent="0.25">
      <c r="B5" t="s">
        <v>1062</v>
      </c>
      <c r="C5" t="s">
        <v>1064</v>
      </c>
    </row>
    <row r="6" spans="2:3" x14ac:dyDescent="0.25">
      <c r="B6" t="s">
        <v>1062</v>
      </c>
      <c r="C6" t="s">
        <v>1065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57"/>
  <sheetViews>
    <sheetView showGridLines="0" showRowColHeaders="0" tabSelected="1" zoomScaleNormal="100" workbookViewId="0"/>
  </sheetViews>
  <sheetFormatPr defaultColWidth="0" defaultRowHeight="15" zeroHeight="1" x14ac:dyDescent="0.25"/>
  <cols>
    <col min="1" max="1" width="3.28515625" style="13" customWidth="1"/>
    <col min="2" max="2" width="16.28515625" style="6" customWidth="1"/>
    <col min="3" max="3" width="25.7109375" style="6" customWidth="1"/>
    <col min="4" max="4" width="11.140625" style="6" customWidth="1"/>
    <col min="5" max="5" width="25.140625" style="6" customWidth="1"/>
    <col min="6" max="6" width="21" style="6" customWidth="1"/>
    <col min="7" max="7" width="6.140625" style="6" customWidth="1"/>
    <col min="8" max="8" width="12.28515625" style="6" customWidth="1"/>
    <col min="9" max="10" width="11.5703125" style="6" customWidth="1"/>
    <col min="11" max="11" width="2.85546875" style="6" customWidth="1"/>
    <col min="12" max="14" width="11.5703125" style="6" hidden="1"/>
    <col min="15" max="15" width="12.42578125" style="6" hidden="1"/>
    <col min="16" max="16384" width="11.5703125" style="6" hidden="1"/>
  </cols>
  <sheetData>
    <row r="1" spans="1:16" ht="18" customHeight="1" thickBot="1" x14ac:dyDescent="0.3">
      <c r="A1" s="6"/>
      <c r="F1" s="21"/>
    </row>
    <row r="2" spans="1:16" ht="18.75" customHeight="1" thickBot="1" x14ac:dyDescent="0.3">
      <c r="A2" s="6"/>
      <c r="B2" s="204" t="s">
        <v>773</v>
      </c>
      <c r="C2" s="245"/>
      <c r="D2" s="246"/>
      <c r="E2" s="246"/>
      <c r="F2" s="246"/>
      <c r="G2" s="246"/>
      <c r="H2" s="246"/>
      <c r="I2" s="246"/>
      <c r="J2" s="247"/>
    </row>
    <row r="3" spans="1:16" ht="18.75" customHeight="1" thickBot="1" x14ac:dyDescent="0.3">
      <c r="A3" s="6"/>
      <c r="B3" s="21"/>
      <c r="C3" s="47"/>
      <c r="F3" s="21"/>
    </row>
    <row r="4" spans="1:16" s="120" customFormat="1" ht="22.5" customHeight="1" x14ac:dyDescent="0.25">
      <c r="B4" s="205" t="s">
        <v>495</v>
      </c>
      <c r="C4" s="206" t="s">
        <v>1</v>
      </c>
      <c r="D4" s="223" t="s">
        <v>774</v>
      </c>
      <c r="E4" s="206" t="s">
        <v>0</v>
      </c>
      <c r="F4" s="206" t="s">
        <v>493</v>
      </c>
      <c r="G4" s="223" t="s">
        <v>488</v>
      </c>
      <c r="H4" s="206" t="s">
        <v>494</v>
      </c>
      <c r="I4" s="206" t="s">
        <v>966</v>
      </c>
      <c r="J4" s="207" t="s">
        <v>981</v>
      </c>
      <c r="K4" s="6"/>
      <c r="L4" s="228" t="s">
        <v>848</v>
      </c>
      <c r="M4" s="249" t="s">
        <v>982</v>
      </c>
      <c r="N4" s="250"/>
      <c r="O4" s="229" t="s">
        <v>989</v>
      </c>
      <c r="P4" s="230">
        <v>4</v>
      </c>
    </row>
    <row r="5" spans="1:16" s="120" customFormat="1" ht="22.5" customHeight="1" x14ac:dyDescent="0.25">
      <c r="B5" s="123" t="s">
        <v>703</v>
      </c>
      <c r="C5" s="220" t="str">
        <f ca="1">IF(INDIRECT("'" &amp; $B5 &amp; "'!D7")="","",INDIRECT("'" &amp; $B5 &amp; "'!D7"))</f>
        <v/>
      </c>
      <c r="D5" s="220" t="str">
        <f ca="1">IF(INDIRECT("'" &amp; $B5 &amp; "'!D8")="","",INDIRECT("'" &amp; $B5 &amp; "'!D8"))</f>
        <v/>
      </c>
      <c r="E5" s="220" t="str">
        <f ca="1">IF(INDIRECT("'" &amp; $B5 &amp; "'!D8")="","",INDIRECT("'" &amp; $B5 &amp; "'!D6"))</f>
        <v/>
      </c>
      <c r="F5" s="220" t="str">
        <f ca="1">IF(INDIRECT("'" &amp; $B5 &amp; "'!D2")="Select Team","",INDIRECT("'" &amp; $B5 &amp; "'!D2"))</f>
        <v/>
      </c>
      <c r="G5" s="221" t="str">
        <f ca="1">IF(INDIRECT("'" &amp; $B5 &amp; "'!D2")="Select Team","",INDIRECT("'" &amp; $B5 &amp; "'!D3"))</f>
        <v/>
      </c>
      <c r="H5" s="222" t="str">
        <f ca="1">IF(INDIRECT("'" &amp; $B5 &amp; "'!D2")="Select Team","",INDIRECT("'" &amp; $B5 &amp; "'!E43"))</f>
        <v/>
      </c>
      <c r="I5" s="222" t="str">
        <f ca="1">IF(INDIRECT("'" &amp; $B5 &amp; "'!D2")="Select Team","",LEFT(INDIRECT("'" &amp; $B5 &amp; "'!J2"),SEARCH(" ",INDIRECT("'" &amp; $B5 &amp; "'!J2"))-1))</f>
        <v/>
      </c>
      <c r="J5" s="224" t="str">
        <f ca="1">IF(INDIRECT("'" &amp; $B5 &amp; "'!D2")="Select Team","",INDIRECT("'" &amp; $B5 &amp; "'!D4"))</f>
        <v/>
      </c>
      <c r="K5" s="6"/>
      <c r="L5" s="231" t="str">
        <f ca="1">IF(F5&lt;&gt;"",COUNTIF($F$5:$F$8,F5),"")</f>
        <v/>
      </c>
      <c r="M5" s="232" t="s">
        <v>986</v>
      </c>
      <c r="N5" s="231">
        <f ca="1">COUNTIF($I$5:$I$8,M5)</f>
        <v>0</v>
      </c>
      <c r="O5" s="233" t="s">
        <v>988</v>
      </c>
      <c r="P5" s="234">
        <f ca="1">SUM(J5:J8)-P4</f>
        <v>-4</v>
      </c>
    </row>
    <row r="6" spans="1:16" s="120" customFormat="1" ht="22.5" customHeight="1" x14ac:dyDescent="0.25">
      <c r="B6" s="123" t="s">
        <v>770</v>
      </c>
      <c r="C6" s="220" t="str">
        <f t="shared" ref="C6:C8" ca="1" si="0">IF(INDIRECT("'" &amp; $B6 &amp; "'!D7")="","",INDIRECT("'" &amp; $B6 &amp; "'!D7"))</f>
        <v/>
      </c>
      <c r="D6" s="220" t="str">
        <f t="shared" ref="D6:D8" ca="1" si="1">IF(INDIRECT("'" &amp; $B6 &amp; "'!D8")="","",INDIRECT("'" &amp; $B6 &amp; "'!D8"))</f>
        <v/>
      </c>
      <c r="E6" s="220" t="str">
        <f t="shared" ref="E6:E8" ca="1" si="2">IF(INDIRECT("'" &amp; $B6 &amp; "'!D8")="","",INDIRECT("'" &amp; $B6 &amp; "'!D6"))</f>
        <v/>
      </c>
      <c r="F6" s="220" t="str">
        <f t="shared" ref="F6:F8" ca="1" si="3">IF(INDIRECT("'" &amp; $B6 &amp; "'!D2")="Select Team","",INDIRECT("'" &amp; $B6 &amp; "'!D2"))</f>
        <v/>
      </c>
      <c r="G6" s="221" t="str">
        <f t="shared" ref="G6:G8" ca="1" si="4">IF(INDIRECT("'" &amp; $B6 &amp; "'!D2")="Select Team","",INDIRECT("'" &amp; $B6 &amp; "'!D3"))</f>
        <v/>
      </c>
      <c r="H6" s="222" t="str">
        <f t="shared" ref="H6:H8" ca="1" si="5">IF(INDIRECT("'" &amp; $B6 &amp; "'!D2")="Select Team","",INDIRECT("'" &amp; $B6 &amp; "'!E43"))</f>
        <v/>
      </c>
      <c r="I6" s="222" t="str">
        <f t="shared" ref="I6:I8" ca="1" si="6">IF(INDIRECT("'" &amp; $B6 &amp; "'!D2")="Select Team","",LEFT(INDIRECT("'" &amp; $B6 &amp; "'!J2"),SEARCH(" ",INDIRECT("'" &amp; $B6 &amp; "'!J2"))-1))</f>
        <v/>
      </c>
      <c r="J6" s="224" t="str">
        <f t="shared" ref="J6:J8" ca="1" si="7">IF(INDIRECT("'" &amp; $B6 &amp; "'!D2")="Select Team","",INDIRECT("'" &amp; $B6 &amp; "'!D4"))</f>
        <v/>
      </c>
      <c r="K6" s="6"/>
      <c r="L6" s="231" t="str">
        <f ca="1">IF(F6&lt;&gt;"",COUNTIF($F$5:$F$8,F6),"")</f>
        <v/>
      </c>
      <c r="M6" s="232" t="s">
        <v>983</v>
      </c>
      <c r="N6" s="231">
        <f ca="1">COUNTIF($I$5:$I$8,M6)</f>
        <v>0</v>
      </c>
      <c r="O6" s="8"/>
      <c r="P6" s="8"/>
    </row>
    <row r="7" spans="1:16" s="120" customFormat="1" ht="22.5" customHeight="1" x14ac:dyDescent="0.25">
      <c r="B7" s="123" t="s">
        <v>771</v>
      </c>
      <c r="C7" s="220" t="str">
        <f t="shared" ca="1" si="0"/>
        <v/>
      </c>
      <c r="D7" s="220" t="str">
        <f t="shared" ca="1" si="1"/>
        <v/>
      </c>
      <c r="E7" s="220" t="str">
        <f t="shared" ca="1" si="2"/>
        <v/>
      </c>
      <c r="F7" s="220" t="str">
        <f t="shared" ca="1" si="3"/>
        <v/>
      </c>
      <c r="G7" s="221" t="str">
        <f t="shared" ca="1" si="4"/>
        <v/>
      </c>
      <c r="H7" s="222" t="str">
        <f t="shared" ca="1" si="5"/>
        <v/>
      </c>
      <c r="I7" s="222" t="str">
        <f t="shared" ca="1" si="6"/>
        <v/>
      </c>
      <c r="J7" s="224" t="str">
        <f t="shared" ca="1" si="7"/>
        <v/>
      </c>
      <c r="K7" s="6"/>
      <c r="L7" s="231" t="str">
        <f ca="1">IF(F7&lt;&gt;"",COUNTIF($F$5:$F$8,F7),"")</f>
        <v/>
      </c>
      <c r="M7" s="232" t="s">
        <v>984</v>
      </c>
      <c r="N7" s="231">
        <f ca="1">COUNTIF($I$5:$I$8,M7)</f>
        <v>0</v>
      </c>
      <c r="O7" s="8"/>
      <c r="P7" s="8"/>
    </row>
    <row r="8" spans="1:16" s="120" customFormat="1" ht="22.5" customHeight="1" thickBot="1" x14ac:dyDescent="0.3">
      <c r="B8" s="146" t="s">
        <v>772</v>
      </c>
      <c r="C8" s="15" t="str">
        <f t="shared" ca="1" si="0"/>
        <v/>
      </c>
      <c r="D8" s="15" t="str">
        <f t="shared" ca="1" si="1"/>
        <v/>
      </c>
      <c r="E8" s="15" t="str">
        <f t="shared" ca="1" si="2"/>
        <v/>
      </c>
      <c r="F8" s="15" t="str">
        <f t="shared" ca="1" si="3"/>
        <v/>
      </c>
      <c r="G8" s="225" t="str">
        <f t="shared" ca="1" si="4"/>
        <v/>
      </c>
      <c r="H8" s="226" t="str">
        <f t="shared" ca="1" si="5"/>
        <v/>
      </c>
      <c r="I8" s="226" t="str">
        <f t="shared" ca="1" si="6"/>
        <v/>
      </c>
      <c r="J8" s="227" t="str">
        <f t="shared" ca="1" si="7"/>
        <v/>
      </c>
      <c r="K8" s="6"/>
      <c r="L8" s="231" t="str">
        <f ca="1">IF(F8&lt;&gt;"",COUNTIF($F$5:$F$8,F8),"")</f>
        <v/>
      </c>
      <c r="M8" s="232" t="s">
        <v>985</v>
      </c>
      <c r="N8" s="231">
        <f ca="1">COUNTIF($I$5:$I$8,M8)</f>
        <v>0</v>
      </c>
      <c r="O8" s="8"/>
      <c r="P8" s="8"/>
    </row>
    <row r="9" spans="1:16" x14ac:dyDescent="0.25">
      <c r="A9" s="6"/>
      <c r="B9" s="248" t="str">
        <f ca="1">IF(L9&gt;1,"Each race may be selected only once!","")</f>
        <v/>
      </c>
      <c r="C9" s="248"/>
      <c r="D9" s="248"/>
      <c r="E9" s="248"/>
      <c r="F9" s="248"/>
      <c r="G9" s="248"/>
      <c r="H9" s="248"/>
      <c r="I9" s="248"/>
      <c r="J9" s="248"/>
      <c r="L9" s="234">
        <f ca="1">MAX(L5:L8)</f>
        <v>0</v>
      </c>
      <c r="M9" s="235" t="s">
        <v>987</v>
      </c>
      <c r="N9" s="234">
        <f ca="1">MAX(N5:N8)</f>
        <v>0</v>
      </c>
      <c r="O9" s="8"/>
      <c r="P9" s="8"/>
    </row>
    <row r="10" spans="1:16" x14ac:dyDescent="0.25">
      <c r="A10" s="6"/>
      <c r="B10" s="248" t="str">
        <f ca="1">IF(N9&gt;1,"You may not select a Blessing more than once! ","") &amp; IF(P5&gt;0,"You spent more than " &amp; P4 &amp; " Squad Points on Blessings! ","")</f>
        <v/>
      </c>
      <c r="C10" s="248"/>
      <c r="D10" s="248"/>
      <c r="E10" s="248"/>
      <c r="F10" s="248"/>
      <c r="G10" s="248"/>
      <c r="H10" s="248"/>
      <c r="I10" s="248"/>
      <c r="J10" s="248"/>
      <c r="L10"/>
    </row>
    <row r="11" spans="1:16" ht="72.75" customHeight="1" x14ac:dyDescent="0.25">
      <c r="A11" s="6"/>
      <c r="B11" s="252" t="s">
        <v>1061</v>
      </c>
      <c r="C11" s="252"/>
      <c r="D11" s="252"/>
      <c r="E11" s="252"/>
      <c r="F11" s="252"/>
      <c r="G11" s="252"/>
      <c r="H11" s="252"/>
    </row>
    <row r="12" spans="1:16" ht="66" customHeight="1" x14ac:dyDescent="0.25">
      <c r="A12" s="6"/>
      <c r="B12" s="252" t="s">
        <v>1058</v>
      </c>
      <c r="C12" s="252"/>
      <c r="D12" s="252"/>
      <c r="E12" s="252"/>
      <c r="F12" s="252"/>
      <c r="G12" s="252"/>
      <c r="H12" s="252"/>
    </row>
    <row r="13" spans="1:16" x14ac:dyDescent="0.25">
      <c r="A13" s="6"/>
      <c r="B13" s="252" t="s">
        <v>779</v>
      </c>
      <c r="C13" s="252"/>
      <c r="D13" s="252"/>
      <c r="E13" s="252"/>
      <c r="F13" s="252"/>
      <c r="G13" s="252"/>
      <c r="H13" s="252"/>
    </row>
    <row r="14" spans="1:16" ht="15" customHeight="1" x14ac:dyDescent="0.25">
      <c r="A14" s="6"/>
      <c r="B14" s="237" t="s">
        <v>778</v>
      </c>
      <c r="C14" s="236"/>
      <c r="D14" s="236"/>
      <c r="E14" s="236"/>
      <c r="F14" s="236"/>
      <c r="G14" s="236"/>
      <c r="H14" s="236"/>
    </row>
    <row r="15" spans="1:16" ht="15" customHeight="1" x14ac:dyDescent="0.25">
      <c r="A15" s="6"/>
      <c r="B15" s="237" t="s">
        <v>766</v>
      </c>
      <c r="C15" s="236"/>
      <c r="D15" s="236"/>
      <c r="E15" s="236"/>
      <c r="F15" s="236"/>
      <c r="G15" s="236"/>
      <c r="H15" s="236"/>
    </row>
    <row r="16" spans="1:16" ht="15" customHeight="1" x14ac:dyDescent="0.25">
      <c r="A16" s="6"/>
      <c r="B16" s="237" t="s">
        <v>1059</v>
      </c>
      <c r="C16" s="236"/>
      <c r="D16" s="236"/>
      <c r="E16" s="236"/>
      <c r="F16" s="236"/>
      <c r="G16" s="236"/>
      <c r="I16" s="139" t="s">
        <v>769</v>
      </c>
      <c r="J16" s="122">
        <v>45413</v>
      </c>
    </row>
    <row r="17" spans="1:16" x14ac:dyDescent="0.25">
      <c r="A17" s="23"/>
    </row>
    <row r="18" spans="1:16" hidden="1" x14ac:dyDescent="0.25">
      <c r="A18" s="23"/>
      <c r="D18" s="52"/>
      <c r="E18" s="52"/>
      <c r="F18" s="52"/>
      <c r="G18" s="52"/>
    </row>
    <row r="19" spans="1:16" hidden="1" x14ac:dyDescent="0.25">
      <c r="A19" s="23"/>
      <c r="B19" s="52"/>
      <c r="C19" s="52"/>
      <c r="D19" s="52"/>
      <c r="E19" s="52"/>
      <c r="F19" s="52"/>
      <c r="G19" s="52"/>
    </row>
    <row r="20" spans="1:16" hidden="1" x14ac:dyDescent="0.25">
      <c r="A20" s="23"/>
      <c r="B20" s="52"/>
      <c r="C20" s="52"/>
      <c r="D20" s="52"/>
      <c r="E20" s="52"/>
      <c r="F20" s="52"/>
      <c r="G20" s="121"/>
      <c r="J20" s="122"/>
      <c r="L20" s="122"/>
      <c r="M20" s="122"/>
      <c r="N20" s="122"/>
      <c r="O20" s="122"/>
      <c r="P20" s="122"/>
    </row>
    <row r="21" spans="1:16" hidden="1" x14ac:dyDescent="0.25">
      <c r="A21" s="23"/>
      <c r="B21" s="52"/>
      <c r="C21" s="52"/>
      <c r="D21" s="52"/>
      <c r="E21" s="52"/>
      <c r="F21" s="52"/>
      <c r="G21" s="52"/>
    </row>
    <row r="22" spans="1:16" hidden="1" x14ac:dyDescent="0.25">
      <c r="A22" s="23"/>
      <c r="B22" s="52"/>
      <c r="C22" s="52"/>
      <c r="D22" s="52"/>
      <c r="E22" s="52"/>
      <c r="F22" s="52"/>
      <c r="G22" s="52"/>
    </row>
    <row r="23" spans="1:16" hidden="1" x14ac:dyDescent="0.25">
      <c r="A23" s="23"/>
      <c r="B23" s="52"/>
      <c r="C23" s="52"/>
      <c r="D23" s="52"/>
      <c r="E23" s="52"/>
      <c r="F23" s="52"/>
      <c r="G23" s="52"/>
    </row>
    <row r="24" spans="1:16" hidden="1" x14ac:dyDescent="0.25">
      <c r="A24" s="23"/>
      <c r="B24" s="52"/>
      <c r="C24" s="52"/>
      <c r="D24" s="52"/>
      <c r="E24" s="52"/>
      <c r="F24" s="52"/>
      <c r="G24" s="52"/>
    </row>
    <row r="25" spans="1:16" hidden="1" x14ac:dyDescent="0.25">
      <c r="A25" s="23"/>
      <c r="B25" s="52"/>
      <c r="C25" s="52"/>
      <c r="D25" s="52"/>
      <c r="E25" s="52"/>
      <c r="F25" s="52"/>
      <c r="G25" s="52"/>
    </row>
    <row r="26" spans="1:16" hidden="1" x14ac:dyDescent="0.25">
      <c r="A26" s="23"/>
      <c r="B26" s="52"/>
      <c r="C26" s="52"/>
      <c r="D26" s="52"/>
      <c r="E26" s="52"/>
      <c r="F26" s="52"/>
      <c r="G26" s="52"/>
    </row>
    <row r="27" spans="1:16" hidden="1" x14ac:dyDescent="0.25">
      <c r="A27" s="23"/>
      <c r="B27" s="23"/>
      <c r="C27" s="23"/>
      <c r="D27" s="22"/>
      <c r="E27" s="22"/>
      <c r="F27" s="25"/>
      <c r="G27" s="22"/>
    </row>
    <row r="28" spans="1:16" hidden="1" x14ac:dyDescent="0.25">
      <c r="A28" s="23"/>
      <c r="B28" s="23"/>
      <c r="C28" s="23"/>
      <c r="D28" s="22"/>
      <c r="E28" s="22"/>
      <c r="F28" s="25"/>
      <c r="G28" s="22"/>
    </row>
    <row r="29" spans="1:16" hidden="1" x14ac:dyDescent="0.25">
      <c r="A29" s="23"/>
      <c r="B29" s="23"/>
      <c r="C29" s="23"/>
      <c r="D29" s="22"/>
      <c r="E29" s="22"/>
      <c r="F29" s="25"/>
      <c r="G29" s="22"/>
    </row>
    <row r="30" spans="1:16" hidden="1" x14ac:dyDescent="0.25">
      <c r="A30" s="23"/>
      <c r="B30" s="23"/>
      <c r="C30" s="23"/>
      <c r="D30" s="22"/>
      <c r="E30" s="22"/>
      <c r="F30" s="25"/>
      <c r="G30" s="22"/>
    </row>
    <row r="31" spans="1:16" hidden="1" x14ac:dyDescent="0.25">
      <c r="A31" s="23"/>
      <c r="B31" s="23"/>
      <c r="C31" s="23"/>
      <c r="D31" s="22"/>
      <c r="E31" s="22"/>
      <c r="F31" s="25"/>
      <c r="G31" s="22"/>
    </row>
    <row r="32" spans="1:16" hidden="1" x14ac:dyDescent="0.25">
      <c r="A32" s="23"/>
      <c r="B32" s="23"/>
      <c r="C32" s="23"/>
      <c r="D32" s="22"/>
      <c r="E32" s="22"/>
      <c r="F32" s="25"/>
      <c r="G32" s="22"/>
    </row>
    <row r="33" spans="1:7" hidden="1" x14ac:dyDescent="0.25">
      <c r="A33" s="23"/>
      <c r="B33" s="23"/>
      <c r="C33" s="23"/>
      <c r="D33" s="22"/>
      <c r="E33" s="22"/>
      <c r="F33" s="25"/>
      <c r="G33" s="22"/>
    </row>
    <row r="34" spans="1:7" hidden="1" x14ac:dyDescent="0.25">
      <c r="A34" s="23"/>
      <c r="B34" s="23"/>
      <c r="C34" s="23"/>
      <c r="D34" s="22"/>
      <c r="E34" s="22"/>
      <c r="F34" s="25"/>
      <c r="G34" s="22"/>
    </row>
    <row r="35" spans="1:7" hidden="1" x14ac:dyDescent="0.25">
      <c r="A35" s="23"/>
      <c r="B35" s="23"/>
      <c r="C35" s="23"/>
      <c r="D35" s="22"/>
      <c r="E35" s="22"/>
      <c r="F35" s="25"/>
      <c r="G35" s="22"/>
    </row>
    <row r="36" spans="1:7" hidden="1" x14ac:dyDescent="0.25">
      <c r="A36" s="23"/>
      <c r="B36" s="23"/>
      <c r="C36" s="23"/>
      <c r="D36" s="22"/>
      <c r="E36" s="22"/>
      <c r="F36" s="25"/>
      <c r="G36" s="22"/>
    </row>
    <row r="37" spans="1:7" hidden="1" x14ac:dyDescent="0.25">
      <c r="A37" s="23"/>
      <c r="B37" s="23"/>
      <c r="C37" s="23"/>
      <c r="D37" s="22"/>
      <c r="E37" s="22"/>
      <c r="F37" s="25"/>
      <c r="G37" s="22"/>
    </row>
    <row r="38" spans="1:7" hidden="1" x14ac:dyDescent="0.25">
      <c r="A38" s="23"/>
      <c r="B38" s="23"/>
      <c r="C38" s="23"/>
      <c r="D38" s="22"/>
      <c r="E38" s="22"/>
      <c r="F38" s="25"/>
      <c r="G38" s="22"/>
    </row>
    <row r="39" spans="1:7" hidden="1" x14ac:dyDescent="0.25">
      <c r="A39" s="23"/>
      <c r="B39" s="23"/>
      <c r="C39" s="23"/>
      <c r="D39" s="22"/>
      <c r="E39" s="22"/>
      <c r="F39" s="25"/>
      <c r="G39" s="22"/>
    </row>
    <row r="40" spans="1:7" hidden="1" x14ac:dyDescent="0.25">
      <c r="A40" s="23"/>
      <c r="B40" s="23"/>
      <c r="C40" s="23"/>
      <c r="D40" s="22"/>
      <c r="E40" s="22"/>
      <c r="F40" s="25"/>
      <c r="G40" s="22"/>
    </row>
    <row r="41" spans="1:7" hidden="1" x14ac:dyDescent="0.25">
      <c r="A41" s="23"/>
      <c r="B41" s="23"/>
      <c r="C41" s="23"/>
      <c r="D41" s="22"/>
      <c r="E41" s="22"/>
      <c r="F41" s="25"/>
      <c r="G41" s="22"/>
    </row>
    <row r="42" spans="1:7" hidden="1" x14ac:dyDescent="0.25">
      <c r="A42" s="23"/>
      <c r="B42" s="23"/>
      <c r="C42" s="23"/>
      <c r="D42" s="251"/>
      <c r="E42" s="251"/>
      <c r="F42" s="253"/>
      <c r="G42" s="22"/>
    </row>
    <row r="43" spans="1:7" hidden="1" x14ac:dyDescent="0.25">
      <c r="A43" s="23"/>
      <c r="B43" s="23"/>
      <c r="C43" s="23"/>
      <c r="D43" s="251"/>
      <c r="E43" s="251"/>
      <c r="F43" s="253"/>
      <c r="G43" s="22"/>
    </row>
    <row r="44" spans="1:7" hidden="1" x14ac:dyDescent="0.25">
      <c r="A44" s="23"/>
      <c r="B44" s="23"/>
      <c r="C44" s="23"/>
      <c r="D44" s="251"/>
      <c r="E44" s="251"/>
      <c r="F44" s="253"/>
      <c r="G44" s="22"/>
    </row>
    <row r="45" spans="1:7" hidden="1" x14ac:dyDescent="0.25">
      <c r="A45" s="23"/>
      <c r="B45" s="23"/>
      <c r="C45" s="23"/>
      <c r="D45" s="251"/>
      <c r="E45" s="251"/>
      <c r="F45" s="253"/>
      <c r="G45" s="22"/>
    </row>
    <row r="46" spans="1:7" hidden="1" x14ac:dyDescent="0.25">
      <c r="A46" s="23"/>
      <c r="B46" s="23"/>
      <c r="C46" s="23"/>
      <c r="D46" s="251"/>
      <c r="E46" s="251"/>
      <c r="F46" s="253"/>
      <c r="G46" s="22"/>
    </row>
    <row r="47" spans="1:7" hidden="1" x14ac:dyDescent="0.25">
      <c r="A47" s="23"/>
      <c r="B47" s="23"/>
      <c r="C47" s="23"/>
      <c r="D47" s="251"/>
      <c r="E47" s="251"/>
      <c r="F47" s="253"/>
      <c r="G47" s="22"/>
    </row>
    <row r="48" spans="1:7" hidden="1" x14ac:dyDescent="0.25">
      <c r="A48" s="23"/>
      <c r="B48" s="23"/>
      <c r="C48" s="23"/>
      <c r="D48" s="251"/>
      <c r="E48" s="251"/>
      <c r="F48" s="253"/>
      <c r="G48" s="22"/>
    </row>
    <row r="49" spans="1:7" hidden="1" x14ac:dyDescent="0.25">
      <c r="A49" s="23"/>
      <c r="B49" s="23"/>
      <c r="C49" s="23"/>
      <c r="D49" s="251"/>
      <c r="E49" s="251"/>
      <c r="F49" s="253"/>
      <c r="G49" s="22"/>
    </row>
    <row r="50" spans="1:7" hidden="1" x14ac:dyDescent="0.25">
      <c r="A50" s="23"/>
      <c r="B50" s="23"/>
      <c r="C50" s="23"/>
      <c r="D50" s="251"/>
      <c r="E50" s="251"/>
      <c r="F50" s="253"/>
      <c r="G50" s="22"/>
    </row>
    <row r="51" spans="1:7" hidden="1" x14ac:dyDescent="0.25">
      <c r="A51" s="23"/>
      <c r="B51" s="23"/>
      <c r="C51" s="23"/>
      <c r="D51" s="251"/>
      <c r="E51" s="251"/>
      <c r="F51" s="253"/>
      <c r="G51" s="22"/>
    </row>
    <row r="52" spans="1:7" hidden="1" x14ac:dyDescent="0.25">
      <c r="A52" s="23"/>
      <c r="B52" s="23"/>
      <c r="C52" s="22"/>
      <c r="D52" s="251"/>
      <c r="E52" s="251"/>
      <c r="F52" s="254"/>
      <c r="G52" s="22"/>
    </row>
    <row r="53" spans="1:7" hidden="1" x14ac:dyDescent="0.25">
      <c r="A53" s="23"/>
      <c r="B53" s="23"/>
      <c r="C53" s="22"/>
      <c r="D53" s="251"/>
      <c r="E53" s="251"/>
      <c r="F53" s="254"/>
      <c r="G53" s="22"/>
    </row>
    <row r="54" spans="1:7" hidden="1" x14ac:dyDescent="0.25">
      <c r="A54" s="23"/>
      <c r="B54" s="23"/>
      <c r="C54" s="22"/>
      <c r="D54" s="251"/>
      <c r="E54" s="251"/>
      <c r="F54" s="254"/>
      <c r="G54" s="22"/>
    </row>
    <row r="55" spans="1:7" hidden="1" x14ac:dyDescent="0.25">
      <c r="A55" s="23"/>
      <c r="B55" s="23"/>
      <c r="C55" s="22"/>
      <c r="D55" s="251"/>
      <c r="E55" s="251"/>
      <c r="F55" s="254"/>
      <c r="G55" s="22"/>
    </row>
    <row r="56" spans="1:7" hidden="1" x14ac:dyDescent="0.25">
      <c r="A56" s="23"/>
      <c r="B56" s="22"/>
      <c r="C56" s="22"/>
      <c r="D56" s="22"/>
      <c r="E56" s="22"/>
      <c r="F56" s="22"/>
      <c r="G56" s="22"/>
    </row>
    <row r="57" spans="1:7" hidden="1" x14ac:dyDescent="0.25">
      <c r="A57" s="23"/>
      <c r="B57" s="22"/>
      <c r="C57" s="22"/>
      <c r="D57" s="22"/>
      <c r="E57" s="22"/>
      <c r="F57" s="22"/>
      <c r="G57" s="22"/>
    </row>
  </sheetData>
  <sheetProtection sheet="1" objects="1" scenarios="1"/>
  <protectedRanges>
    <protectedRange sqref="C2" name="Squad name"/>
  </protectedRanges>
  <mergeCells count="24">
    <mergeCell ref="D55:E55"/>
    <mergeCell ref="D51:E51"/>
    <mergeCell ref="F47:F51"/>
    <mergeCell ref="F52:F55"/>
    <mergeCell ref="D47:E47"/>
    <mergeCell ref="D48:E48"/>
    <mergeCell ref="D49:E49"/>
    <mergeCell ref="D50:E50"/>
    <mergeCell ref="D52:E52"/>
    <mergeCell ref="D53:E53"/>
    <mergeCell ref="C2:J2"/>
    <mergeCell ref="B10:J10"/>
    <mergeCell ref="B9:J9"/>
    <mergeCell ref="M4:N4"/>
    <mergeCell ref="D54:E54"/>
    <mergeCell ref="B12:H12"/>
    <mergeCell ref="F42:F46"/>
    <mergeCell ref="D46:E46"/>
    <mergeCell ref="B11:H11"/>
    <mergeCell ref="B13:H13"/>
    <mergeCell ref="D42:E42"/>
    <mergeCell ref="D43:E43"/>
    <mergeCell ref="D44:E44"/>
    <mergeCell ref="D45:E45"/>
  </mergeCells>
  <phoneticPr fontId="2" type="noConversion"/>
  <conditionalFormatting sqref="B9:B10">
    <cfRule type="notContainsBlanks" dxfId="2" priority="3">
      <formula>LEN(TRIM(B9))&gt;0</formula>
    </cfRule>
  </conditionalFormatting>
  <conditionalFormatting sqref="F5:F8">
    <cfRule type="expression" dxfId="1" priority="2">
      <formula>$B$9&lt;&gt;""</formula>
    </cfRule>
  </conditionalFormatting>
  <conditionalFormatting sqref="I5:I8">
    <cfRule type="expression" dxfId="0" priority="1">
      <formula>$B$10&lt;&gt;""</formula>
    </cfRule>
  </conditionalFormatting>
  <dataValidations count="1">
    <dataValidation type="custom" allowBlank="1" showInputMessage="1" showErrorMessage="1" errorTitle="Wrong entry" error="Please mark the cell with a &quot;X&quot; or &quot;x&quot; in order to print the Game Roster." sqref="A5:A8" xr:uid="{00000000-0002-0000-0000-000000000000}">
      <formula1>OR(A5="X",A5="x",A5="",A5=" ")</formula1>
    </dataValidation>
  </dataValidations>
  <hyperlinks>
    <hyperlink ref="B15:H15" location="'Available Rosters'!A1" display="List of available rosters, incl. Teams of Legend and NAF Recommended Teams" xr:uid="{00000000-0004-0000-0000-000001000000}"/>
    <hyperlink ref="B5" location="'Team 1'!A1" display="Team 1" xr:uid="{00000000-0004-0000-0000-000002000000}"/>
    <hyperlink ref="B14:H14" location="'Tourney Rules'!A1" display="Team building rules" xr:uid="{00000000-0004-0000-0000-000006000000}"/>
    <hyperlink ref="B6:B8" location="'Team 1'!A1" display="Team 1" xr:uid="{1167F0EA-5B30-4FA6-8E98-AEED62A55437}"/>
    <hyperlink ref="B6" location="'Team 2'!A1" display="Team 2" xr:uid="{44449DCF-6174-4F6D-9B85-750F72281846}"/>
    <hyperlink ref="B7" location="'Team 3'!A1" display="Team 3" xr:uid="{D56C7E8B-4237-4F8E-8C45-1A6F1CD32CE3}"/>
    <hyperlink ref="B8" location="'Team 4'!A1" display="Team 4" xr:uid="{2748C6BE-F550-4CD8-9448-A83E6B19010E}"/>
    <hyperlink ref="B14" location="'Eurobowl Rules'!A1" display="Team building rules" xr:uid="{2F6B181E-B43F-48D0-85FB-A66D6739CE9E}"/>
    <hyperlink ref="B16" location="'Available Skills'!A1" display="List of available skills" xr:uid="{D2E2BE7A-B262-4AB0-A168-67EF9C513699}"/>
  </hyperlinks>
  <pageMargins left="0.7" right="0.7" top="0.78740157499999996" bottom="0.78740157499999996" header="0.3" footer="0.3"/>
  <pageSetup scale="61" orientation="portrait" verticalDpi="1200"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3"/>
  <dimension ref="A1:C91"/>
  <sheetViews>
    <sheetView zoomScaleNormal="100" workbookViewId="0"/>
  </sheetViews>
  <sheetFormatPr defaultColWidth="0" defaultRowHeight="15" zeroHeight="1" x14ac:dyDescent="0.25"/>
  <cols>
    <col min="1" max="1" width="2.85546875" style="6" customWidth="1"/>
    <col min="2" max="2" width="175.7109375" style="6" bestFit="1" customWidth="1"/>
    <col min="3" max="3" width="2.85546875" style="6" customWidth="1"/>
    <col min="4" max="16384" width="11.42578125" style="6" hidden="1"/>
  </cols>
  <sheetData>
    <row r="1" spans="2:2" ht="15" customHeight="1" thickBot="1" x14ac:dyDescent="0.3"/>
    <row r="2" spans="2:2" x14ac:dyDescent="0.25">
      <c r="B2" s="60" t="s">
        <v>713</v>
      </c>
    </row>
    <row r="3" spans="2:2" x14ac:dyDescent="0.25">
      <c r="B3" s="61" t="s">
        <v>1020</v>
      </c>
    </row>
    <row r="4" spans="2:2" x14ac:dyDescent="0.25">
      <c r="B4" s="61" t="s">
        <v>1019</v>
      </c>
    </row>
    <row r="5" spans="2:2" ht="15.75" thickBot="1" x14ac:dyDescent="0.3">
      <c r="B5" s="63" t="s">
        <v>1027</v>
      </c>
    </row>
    <row r="6" spans="2:2" ht="15.75" thickBot="1" x14ac:dyDescent="0.3"/>
    <row r="7" spans="2:2" x14ac:dyDescent="0.25">
      <c r="B7" s="60" t="s">
        <v>707</v>
      </c>
    </row>
    <row r="8" spans="2:2" x14ac:dyDescent="0.25">
      <c r="B8" s="140" t="s">
        <v>1007</v>
      </c>
    </row>
    <row r="9" spans="2:2" x14ac:dyDescent="0.25">
      <c r="B9" s="140" t="s">
        <v>1008</v>
      </c>
    </row>
    <row r="10" spans="2:2" x14ac:dyDescent="0.25">
      <c r="B10" s="140"/>
    </row>
    <row r="11" spans="2:2" x14ac:dyDescent="0.25">
      <c r="B11" s="61" t="s">
        <v>1003</v>
      </c>
    </row>
    <row r="12" spans="2:2" x14ac:dyDescent="0.25">
      <c r="B12" s="61" t="s">
        <v>708</v>
      </c>
    </row>
    <row r="13" spans="2:2" x14ac:dyDescent="0.25">
      <c r="B13" s="61" t="s">
        <v>709</v>
      </c>
    </row>
    <row r="14" spans="2:2" x14ac:dyDescent="0.25">
      <c r="B14" s="61" t="s">
        <v>1002</v>
      </c>
    </row>
    <row r="15" spans="2:2" x14ac:dyDescent="0.25">
      <c r="B15" s="61" t="s">
        <v>710</v>
      </c>
    </row>
    <row r="16" spans="2:2" x14ac:dyDescent="0.25">
      <c r="B16" s="61" t="s">
        <v>711</v>
      </c>
    </row>
    <row r="17" spans="2:2" x14ac:dyDescent="0.25">
      <c r="B17" s="61" t="s">
        <v>712</v>
      </c>
    </row>
    <row r="18" spans="2:2" x14ac:dyDescent="0.25">
      <c r="B18" s="61" t="s">
        <v>1004</v>
      </c>
    </row>
    <row r="19" spans="2:2" x14ac:dyDescent="0.25">
      <c r="B19" s="61" t="s">
        <v>1005</v>
      </c>
    </row>
    <row r="20" spans="2:2" x14ac:dyDescent="0.25">
      <c r="B20" s="61" t="s">
        <v>1006</v>
      </c>
    </row>
    <row r="21" spans="2:2" x14ac:dyDescent="0.25">
      <c r="B21" s="61" t="s">
        <v>1010</v>
      </c>
    </row>
    <row r="22" spans="2:2" x14ac:dyDescent="0.25">
      <c r="B22" s="61"/>
    </row>
    <row r="23" spans="2:2" x14ac:dyDescent="0.25">
      <c r="B23" s="140" t="s">
        <v>1026</v>
      </c>
    </row>
    <row r="24" spans="2:2" x14ac:dyDescent="0.25">
      <c r="B24" s="140" t="s">
        <v>1011</v>
      </c>
    </row>
    <row r="25" spans="2:2" x14ac:dyDescent="0.25">
      <c r="B25" s="140" t="s">
        <v>1012</v>
      </c>
    </row>
    <row r="26" spans="2:2" ht="15.75" thickBot="1" x14ac:dyDescent="0.3">
      <c r="B26" s="240" t="s">
        <v>1009</v>
      </c>
    </row>
    <row r="27" spans="2:2" ht="15.75" thickBot="1" x14ac:dyDescent="0.3"/>
    <row r="28" spans="2:2" x14ac:dyDescent="0.25">
      <c r="B28" s="60" t="s">
        <v>714</v>
      </c>
    </row>
    <row r="29" spans="2:2" x14ac:dyDescent="0.25">
      <c r="B29" s="64" t="s">
        <v>1013</v>
      </c>
    </row>
    <row r="30" spans="2:2" x14ac:dyDescent="0.25">
      <c r="B30" s="61" t="s">
        <v>990</v>
      </c>
    </row>
    <row r="31" spans="2:2" x14ac:dyDescent="0.25">
      <c r="B31" s="238" t="s">
        <v>991</v>
      </c>
    </row>
    <row r="32" spans="2:2" x14ac:dyDescent="0.25">
      <c r="B32" s="61"/>
    </row>
    <row r="33" spans="2:2" x14ac:dyDescent="0.25">
      <c r="B33" s="64" t="s">
        <v>1014</v>
      </c>
    </row>
    <row r="34" spans="2:2" x14ac:dyDescent="0.25">
      <c r="B34" s="61" t="s">
        <v>992</v>
      </c>
    </row>
    <row r="35" spans="2:2" x14ac:dyDescent="0.25">
      <c r="B35" s="238" t="s">
        <v>993</v>
      </c>
    </row>
    <row r="36" spans="2:2" x14ac:dyDescent="0.25">
      <c r="B36" s="62"/>
    </row>
    <row r="37" spans="2:2" x14ac:dyDescent="0.25">
      <c r="B37" s="64" t="s">
        <v>1015</v>
      </c>
    </row>
    <row r="38" spans="2:2" x14ac:dyDescent="0.25">
      <c r="B38" s="61" t="s">
        <v>994</v>
      </c>
    </row>
    <row r="39" spans="2:2" x14ac:dyDescent="0.25">
      <c r="B39" s="238" t="s">
        <v>995</v>
      </c>
    </row>
    <row r="40" spans="2:2" x14ac:dyDescent="0.25">
      <c r="B40" s="62"/>
    </row>
    <row r="41" spans="2:2" x14ac:dyDescent="0.25">
      <c r="B41" s="64" t="s">
        <v>1016</v>
      </c>
    </row>
    <row r="42" spans="2:2" x14ac:dyDescent="0.25">
      <c r="B42" s="61" t="s">
        <v>996</v>
      </c>
    </row>
    <row r="43" spans="2:2" x14ac:dyDescent="0.25">
      <c r="B43" s="238" t="s">
        <v>997</v>
      </c>
    </row>
    <row r="44" spans="2:2" x14ac:dyDescent="0.25">
      <c r="B44" s="62"/>
    </row>
    <row r="45" spans="2:2" x14ac:dyDescent="0.25">
      <c r="B45" s="64" t="s">
        <v>1017</v>
      </c>
    </row>
    <row r="46" spans="2:2" x14ac:dyDescent="0.25">
      <c r="B46" s="61" t="s">
        <v>998</v>
      </c>
    </row>
    <row r="47" spans="2:2" x14ac:dyDescent="0.25">
      <c r="B47" s="238" t="s">
        <v>999</v>
      </c>
    </row>
    <row r="48" spans="2:2" x14ac:dyDescent="0.25">
      <c r="B48" s="61"/>
    </row>
    <row r="49" spans="2:2" x14ac:dyDescent="0.25">
      <c r="B49" s="64" t="s">
        <v>1018</v>
      </c>
    </row>
    <row r="50" spans="2:2" x14ac:dyDescent="0.25">
      <c r="B50" s="61" t="s">
        <v>1000</v>
      </c>
    </row>
    <row r="51" spans="2:2" ht="15.75" thickBot="1" x14ac:dyDescent="0.3">
      <c r="B51" s="239" t="s">
        <v>1001</v>
      </c>
    </row>
    <row r="52" spans="2:2" ht="15.75" thickBot="1" x14ac:dyDescent="0.3"/>
    <row r="53" spans="2:2" x14ac:dyDescent="0.25">
      <c r="B53" s="60" t="s">
        <v>957</v>
      </c>
    </row>
    <row r="54" spans="2:2" x14ac:dyDescent="0.25">
      <c r="B54" s="61" t="s">
        <v>1028</v>
      </c>
    </row>
    <row r="55" spans="2:2" x14ac:dyDescent="0.25">
      <c r="B55" s="61" t="s">
        <v>1030</v>
      </c>
    </row>
    <row r="56" spans="2:2" x14ac:dyDescent="0.25">
      <c r="B56" s="61"/>
    </row>
    <row r="57" spans="2:2" x14ac:dyDescent="0.25">
      <c r="B57" s="64" t="s">
        <v>1021</v>
      </c>
    </row>
    <row r="58" spans="2:2" x14ac:dyDescent="0.25">
      <c r="B58" s="61" t="s">
        <v>1022</v>
      </c>
    </row>
    <row r="59" spans="2:2" x14ac:dyDescent="0.25">
      <c r="B59" s="61" t="s">
        <v>1023</v>
      </c>
    </row>
    <row r="60" spans="2:2" x14ac:dyDescent="0.25">
      <c r="B60" s="61" t="s">
        <v>1024</v>
      </c>
    </row>
    <row r="61" spans="2:2" x14ac:dyDescent="0.25">
      <c r="B61" s="61" t="s">
        <v>1025</v>
      </c>
    </row>
    <row r="62" spans="2:2" x14ac:dyDescent="0.25">
      <c r="B62" s="241" t="s">
        <v>1029</v>
      </c>
    </row>
    <row r="63" spans="2:2" x14ac:dyDescent="0.25">
      <c r="B63" s="62"/>
    </row>
    <row r="64" spans="2:2" x14ac:dyDescent="0.25">
      <c r="B64" s="242" t="s">
        <v>1031</v>
      </c>
    </row>
    <row r="65" spans="2:2" x14ac:dyDescent="0.25">
      <c r="B65" s="62" t="s">
        <v>1033</v>
      </c>
    </row>
    <row r="66" spans="2:2" x14ac:dyDescent="0.25">
      <c r="B66" s="62"/>
    </row>
    <row r="67" spans="2:2" x14ac:dyDescent="0.25">
      <c r="B67" s="242" t="s">
        <v>1032</v>
      </c>
    </row>
    <row r="68" spans="2:2" x14ac:dyDescent="0.25">
      <c r="B68" s="62" t="s">
        <v>1038</v>
      </c>
    </row>
    <row r="69" spans="2:2" x14ac:dyDescent="0.25">
      <c r="B69" s="62" t="s">
        <v>1034</v>
      </c>
    </row>
    <row r="70" spans="2:2" x14ac:dyDescent="0.25">
      <c r="B70" s="62" t="s">
        <v>1035</v>
      </c>
    </row>
    <row r="71" spans="2:2" x14ac:dyDescent="0.25">
      <c r="B71" s="62" t="s">
        <v>1037</v>
      </c>
    </row>
    <row r="72" spans="2:2" x14ac:dyDescent="0.25">
      <c r="B72" s="62" t="s">
        <v>1036</v>
      </c>
    </row>
    <row r="73" spans="2:2" x14ac:dyDescent="0.25">
      <c r="B73" s="62" t="s">
        <v>1039</v>
      </c>
    </row>
    <row r="74" spans="2:2" x14ac:dyDescent="0.25">
      <c r="B74" s="62"/>
    </row>
    <row r="75" spans="2:2" x14ac:dyDescent="0.25">
      <c r="B75" s="242" t="s">
        <v>1040</v>
      </c>
    </row>
    <row r="76" spans="2:2" x14ac:dyDescent="0.25">
      <c r="B76" s="62" t="s">
        <v>1050</v>
      </c>
    </row>
    <row r="77" spans="2:2" x14ac:dyDescent="0.25">
      <c r="B77" s="62" t="s">
        <v>1042</v>
      </c>
    </row>
    <row r="78" spans="2:2" x14ac:dyDescent="0.25">
      <c r="B78" s="62" t="s">
        <v>1041</v>
      </c>
    </row>
    <row r="79" spans="2:2" x14ac:dyDescent="0.25">
      <c r="B79" s="62" t="s">
        <v>1046</v>
      </c>
    </row>
    <row r="80" spans="2:2" x14ac:dyDescent="0.25">
      <c r="B80" s="62" t="s">
        <v>1045</v>
      </c>
    </row>
    <row r="81" spans="2:2" x14ac:dyDescent="0.25">
      <c r="B81" s="62" t="s">
        <v>1044</v>
      </c>
    </row>
    <row r="82" spans="2:2" x14ac:dyDescent="0.25">
      <c r="B82" s="62" t="s">
        <v>1043</v>
      </c>
    </row>
    <row r="83" spans="2:2" x14ac:dyDescent="0.25">
      <c r="B83" s="62" t="s">
        <v>1047</v>
      </c>
    </row>
    <row r="84" spans="2:2" x14ac:dyDescent="0.25">
      <c r="B84" s="62" t="s">
        <v>1048</v>
      </c>
    </row>
    <row r="85" spans="2:2" x14ac:dyDescent="0.25">
      <c r="B85" s="62" t="s">
        <v>1049</v>
      </c>
    </row>
    <row r="86" spans="2:2" x14ac:dyDescent="0.25">
      <c r="B86" s="62"/>
    </row>
    <row r="87" spans="2:2" x14ac:dyDescent="0.25">
      <c r="B87" s="242" t="s">
        <v>1051</v>
      </c>
    </row>
    <row r="88" spans="2:2" ht="15.75" thickBot="1" x14ac:dyDescent="0.3">
      <c r="B88" s="63" t="s">
        <v>1052</v>
      </c>
    </row>
    <row r="89" spans="2:2" x14ac:dyDescent="0.25"/>
    <row r="90" spans="2:2" x14ac:dyDescent="0.25">
      <c r="B90" s="243" t="s">
        <v>1053</v>
      </c>
    </row>
    <row r="91" spans="2:2" x14ac:dyDescent="0.25"/>
  </sheetData>
  <sheetProtection sheet="1" objects="1" scenarios="1"/>
  <phoneticPr fontId="2" type="noConversion"/>
  <pageMargins left="0.7" right="0.7" top="0.78740157499999996" bottom="0.78740157499999996"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S79"/>
  <sheetViews>
    <sheetView showGridLines="0" showRowColHeaders="0" zoomScale="80" zoomScaleNormal="80" zoomScaleSheetLayoutView="80" workbookViewId="0"/>
  </sheetViews>
  <sheetFormatPr defaultColWidth="0" defaultRowHeight="15"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4"/>
      <c r="F1" s="284"/>
      <c r="G1" s="284"/>
      <c r="H1" s="284"/>
      <c r="I1" s="284"/>
      <c r="J1" s="284"/>
      <c r="K1" s="284"/>
      <c r="R1" s="12"/>
      <c r="U1" s="12"/>
      <c r="AA1" s="12"/>
      <c r="AD1" s="12"/>
    </row>
    <row r="2" spans="1:45" s="6" customFormat="1" ht="15" customHeight="1" thickBot="1" x14ac:dyDescent="0.3">
      <c r="B2" s="257" t="s">
        <v>493</v>
      </c>
      <c r="C2" s="258"/>
      <c r="D2" s="135" t="s">
        <v>706</v>
      </c>
      <c r="F2" s="303" t="s">
        <v>966</v>
      </c>
      <c r="G2" s="304"/>
      <c r="H2" s="304"/>
      <c r="I2" s="305"/>
      <c r="J2" s="315" t="s">
        <v>958</v>
      </c>
      <c r="K2" s="316"/>
      <c r="M2" s="248" t="str">
        <f>AC32</f>
        <v/>
      </c>
      <c r="N2" s="248"/>
      <c r="O2" s="248"/>
      <c r="P2" s="187"/>
    </row>
    <row r="3" spans="1:45" s="6" customFormat="1" ht="15" customHeight="1" x14ac:dyDescent="0.25">
      <c r="B3" s="268" t="s">
        <v>488</v>
      </c>
      <c r="C3" s="269"/>
      <c r="D3" s="134" t="str">
        <f>IFERROR(VLOOKUP($D$2,Teams!$B$2:'Teams'!$I$31,8,FALSE),"0")</f>
        <v>0</v>
      </c>
      <c r="F3" s="306"/>
      <c r="G3" s="307"/>
      <c r="H3" s="307"/>
      <c r="I3" s="308"/>
      <c r="J3" s="193" t="s">
        <v>964</v>
      </c>
      <c r="K3" s="194" t="s">
        <v>961</v>
      </c>
      <c r="M3" s="248" t="str">
        <f>IF($AP$11,"Too many players of a player type! ","") &amp; IF(COUNTBLANK(E11:E28)&lt;2,"Maximum 16 players! ","") &amp; IF(AND(B38&gt;=1,SUMPRODUCT(--(ISNUMBER(SEARCH("Secret Weapon",J11:K28))))&gt;0),"No Bribe and Secret Weapon! ","")</f>
        <v/>
      </c>
      <c r="N3" s="248"/>
      <c r="O3" s="248"/>
      <c r="P3" s="187"/>
    </row>
    <row r="4" spans="1:45" s="6" customFormat="1" ht="15" customHeight="1" thickBot="1" x14ac:dyDescent="0.3">
      <c r="B4" s="272" t="s">
        <v>971</v>
      </c>
      <c r="C4" s="273"/>
      <c r="D4" s="188">
        <f>IFERROR(VLOOKUP($J$2,Blessings!B10:C15,2,FALSE),"")</f>
        <v>0</v>
      </c>
      <c r="F4" s="265" t="s">
        <v>682</v>
      </c>
      <c r="G4" s="266"/>
      <c r="H4" s="266"/>
      <c r="I4" s="267"/>
      <c r="J4" s="177">
        <f>Y33</f>
        <v>0</v>
      </c>
      <c r="K4" s="178">
        <f>E43</f>
        <v>0</v>
      </c>
      <c r="M4" s="248" t="str">
        <f>IFERROR(IF(Z33&gt;Y33,"You exceeded your budget!",""),"")</f>
        <v/>
      </c>
      <c r="N4" s="248"/>
      <c r="O4" s="248"/>
      <c r="P4" s="187"/>
    </row>
    <row r="5" spans="1:45" s="6" customFormat="1" ht="15" customHeight="1" thickBot="1" x14ac:dyDescent="0.3">
      <c r="F5" s="265" t="s">
        <v>962</v>
      </c>
      <c r="G5" s="266"/>
      <c r="H5" s="266"/>
      <c r="I5" s="267"/>
      <c r="J5" s="179">
        <f>Y34</f>
        <v>0</v>
      </c>
      <c r="K5" s="180">
        <f>Z34</f>
        <v>0</v>
      </c>
      <c r="M5" s="248" t="str">
        <f>IFERROR(IF(Z34&gt;Y34,"You exceeded your available skill points!",""),"")</f>
        <v/>
      </c>
      <c r="N5" s="248"/>
      <c r="O5" s="248"/>
      <c r="P5" s="187"/>
    </row>
    <row r="6" spans="1:45" s="6" customFormat="1" ht="15" customHeight="1" x14ac:dyDescent="0.25">
      <c r="B6" s="257" t="s">
        <v>0</v>
      </c>
      <c r="C6" s="258"/>
      <c r="D6" s="184"/>
      <c r="F6" s="259" t="s">
        <v>704</v>
      </c>
      <c r="G6" s="260"/>
      <c r="H6" s="260"/>
      <c r="I6" s="261"/>
      <c r="J6" s="179">
        <f t="shared" ref="J6:K8" si="0">V33</f>
        <v>0</v>
      </c>
      <c r="K6" s="180">
        <f t="shared" si="0"/>
        <v>0</v>
      </c>
      <c r="L6"/>
      <c r="M6" s="248" t="str">
        <f ca="1">IFERROR(IF(AN11&gt;AI13,"Too many Big Guys! ",""),"") &amp; IF(COUNTIF(V11:V28, TRUE) &gt; 0, "Match players to selected team! ", "") &amp; IF(COUNTIF(W11:X226, TRUE) &gt; 0, "Match skill with player and upgrade!", "")</f>
        <v/>
      </c>
      <c r="N6" s="248"/>
      <c r="O6" s="248"/>
      <c r="P6" s="187"/>
    </row>
    <row r="7" spans="1:45" s="6" customFormat="1" ht="15" customHeight="1" x14ac:dyDescent="0.25">
      <c r="B7" s="268" t="s">
        <v>1</v>
      </c>
      <c r="C7" s="269"/>
      <c r="D7" s="185"/>
      <c r="F7" s="259" t="s">
        <v>963</v>
      </c>
      <c r="G7" s="260"/>
      <c r="H7" s="260"/>
      <c r="I7" s="261"/>
      <c r="J7" s="181">
        <f t="shared" si="0"/>
        <v>0</v>
      </c>
      <c r="K7" s="180">
        <f t="shared" si="0"/>
        <v>0</v>
      </c>
      <c r="M7" s="248" t="str">
        <f>IFERROR(IF($AS$11,"A Star Player can only be selected once! ",""),"") &amp; IF(_xlfn.XOR(ISNUMBER(SEARCH(":", C27)), ISNUMBER(SEARCH(":", C28))), "This Star Player comes as a pair!", "")</f>
        <v/>
      </c>
      <c r="N7" s="248"/>
      <c r="O7" s="248"/>
      <c r="P7" s="248"/>
    </row>
    <row r="8" spans="1:45" s="6" customFormat="1" ht="15" customHeight="1" thickBot="1" x14ac:dyDescent="0.3">
      <c r="B8" s="270" t="s">
        <v>775</v>
      </c>
      <c r="C8" s="271"/>
      <c r="D8" s="186"/>
      <c r="F8" s="262" t="s">
        <v>968</v>
      </c>
      <c r="G8" s="263"/>
      <c r="H8" s="263"/>
      <c r="I8" s="264"/>
      <c r="J8" s="182">
        <f t="shared" si="0"/>
        <v>0</v>
      </c>
      <c r="K8" s="183">
        <f t="shared" si="0"/>
        <v>0</v>
      </c>
      <c r="L8" s="290"/>
      <c r="M8" s="248" t="str">
        <f>IF(OR(W33&gt;V33,W34&gt;V34,W35&gt;V35),"Too many (stacked) skills! ","") &amp; IF(AND(B38&gt;=1,COUNTIF(M11:P26,"Sneaky Git")&gt;=1),"No Bribe and Sneaky Git! ","")</f>
        <v/>
      </c>
      <c r="N8" s="248"/>
      <c r="O8" s="248"/>
      <c r="P8" s="248"/>
    </row>
    <row r="9" spans="1:45" s="6" customFormat="1" ht="15" customHeight="1" thickBot="1" x14ac:dyDescent="0.3">
      <c r="B9" s="13"/>
      <c r="L9" s="291"/>
      <c r="M9" s="248" t="str">
        <f>IF(OR(AND(OR(AND(C27&lt;&gt;"",C27&lt;&gt;"Select Star Player"),AND(C28&lt;&gt;"",C28&lt;&gt;"Select Star Player")),ISNUMBER(FIND("Ares",J2))=FALSE),AND(AND(AND(C27&lt;&gt;"",C27&lt;&gt;"Select Star Player"),AND(C28&lt;&gt;"",C28&lt;&gt;"Select Star Player")),ISNUMBER(FIND("Ares",J2))=FALSE)),"Select the Ares blessing to field a Star Player!","")</f>
        <v/>
      </c>
      <c r="N9" s="248"/>
      <c r="O9" s="248"/>
      <c r="P9" s="248"/>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1" t="s">
        <v>688</v>
      </c>
      <c r="D10" s="327"/>
      <c r="E10" s="190" t="s">
        <v>4</v>
      </c>
      <c r="F10" s="190" t="s">
        <v>5</v>
      </c>
      <c r="G10" s="190" t="s">
        <v>6</v>
      </c>
      <c r="H10" s="190" t="s">
        <v>7</v>
      </c>
      <c r="I10" s="190" t="s">
        <v>8</v>
      </c>
      <c r="J10" s="311" t="s">
        <v>291</v>
      </c>
      <c r="K10" s="312"/>
      <c r="L10" s="191" t="s">
        <v>715</v>
      </c>
      <c r="M10" s="189" t="s">
        <v>735</v>
      </c>
      <c r="N10" s="190" t="s">
        <v>15</v>
      </c>
      <c r="O10" s="189" t="s">
        <v>736</v>
      </c>
      <c r="P10" s="192" t="s">
        <v>15</v>
      </c>
      <c r="Q10" s="6"/>
      <c r="R10" s="7"/>
      <c r="S10" s="82" t="s">
        <v>281</v>
      </c>
      <c r="T10" s="83" t="s">
        <v>282</v>
      </c>
      <c r="U10" s="84" t="s">
        <v>490</v>
      </c>
      <c r="V10" s="83" t="s">
        <v>978</v>
      </c>
      <c r="W10" s="300" t="s">
        <v>979</v>
      </c>
      <c r="X10" s="300"/>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1"/>
      <c r="D11" s="322"/>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09" t="str">
        <f>IF(N11&lt;&gt;"",CONCATENATE(IF(U11="None","",U11&amp;", "),N11,IF(P11="","",", "),P11),U11)</f>
        <v/>
      </c>
      <c r="K11" s="310"/>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A26" si="9">HLOOKUP(S11,$T$39:$AO$40,2,FALSE)</f>
        <v>#N/A</v>
      </c>
      <c r="AB11" s="66" t="e">
        <f t="shared" ref="AB11:AB26" si="10">HLOOKUP(T11,$T$39:$AO$40,2,FALSE)</f>
        <v>#N/A</v>
      </c>
      <c r="AC11" s="66" t="str">
        <f t="shared" ref="AC11:AC26" si="11">$S$40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7"/>
      <c r="D12" s="318"/>
      <c r="E12" s="16" t="str">
        <f t="shared" si="1"/>
        <v/>
      </c>
      <c r="F12" s="16" t="str">
        <f t="shared" si="2"/>
        <v/>
      </c>
      <c r="G12" s="18" t="str">
        <f t="shared" si="3"/>
        <v/>
      </c>
      <c r="H12" s="18" t="str">
        <f t="shared" si="4"/>
        <v/>
      </c>
      <c r="I12" s="18" t="str">
        <f t="shared" si="5"/>
        <v/>
      </c>
      <c r="J12" s="313" t="str">
        <f t="shared" ref="J12:J26" si="12">IF(N12&lt;&gt;"",CONCATENATE(IF(U12="None","",U12&amp;", "),N12,IF(P12="","",", "),P12),U12)</f>
        <v/>
      </c>
      <c r="K12" s="314"/>
      <c r="L12" s="200" t="str">
        <f t="shared" si="6"/>
        <v/>
      </c>
      <c r="M12" s="126"/>
      <c r="N12" s="129"/>
      <c r="O12" s="126"/>
      <c r="P12" s="130"/>
      <c r="Q12" s="6"/>
      <c r="R12" s="8"/>
      <c r="S12" s="67" t="str">
        <f>IFERROR(VLOOKUP($C12,PlayerList,11,FALSE),"")</f>
        <v/>
      </c>
      <c r="T12" s="66" t="str">
        <f t="shared" si="7"/>
        <v/>
      </c>
      <c r="U12" s="66" t="str">
        <f t="shared" si="8"/>
        <v/>
      </c>
      <c r="V12" s="66" t="b">
        <f t="shared" ref="V12:V26" si="13">AND(C12&lt;&gt;"", ISERROR(MATCH(C12, $AL$11:$AL$27, 0)))</f>
        <v>0</v>
      </c>
      <c r="W12" s="66" t="b">
        <f t="shared" ref="W12:W26" ca="1" si="14">OR(AND(M12="", N12&lt;&gt;""), AND(N12&lt;&gt;"", ISERROR(MATCH(N12, INDIRECT(AE12), 0))))</f>
        <v>0</v>
      </c>
      <c r="X12" s="66" t="b">
        <f t="shared" ref="X12:X26" ca="1" si="15">OR(AND(P12="", O12&lt;&gt;""), AND(P12&lt;&gt;"", ISERROR(MATCH(P12, INDIRECT(AF12), 0))))</f>
        <v>0</v>
      </c>
      <c r="Y12" s="175">
        <f t="shared" ref="Y12:Y26" si="16">MAX(IF(N12&lt;&gt;"",SUMPRODUCT(--(ISNUMBER(SEARCH(N12, $J$11:$K$26)))),0),IF(P12&lt;&gt;"",SUMPRODUCT(--(ISNUMBER(SEARCH(P12, $J$11:$K$26)))),0))</f>
        <v>0</v>
      </c>
      <c r="Z12" s="68"/>
      <c r="AA12" s="67" t="e">
        <f t="shared" si="9"/>
        <v>#N/A</v>
      </c>
      <c r="AB12" s="66" t="e">
        <f t="shared" si="10"/>
        <v>#N/A</v>
      </c>
      <c r="AC12" s="66" t="str">
        <f t="shared" si="11"/>
        <v>$S$41:$S$55</v>
      </c>
      <c r="AD12" s="66"/>
      <c r="AE12" s="67" t="e">
        <f t="shared" ref="AE12:AE26" si="17">HLOOKUP(M12,$AA$10:$AC$26,ROW()-9,FALSE)</f>
        <v>#N/A</v>
      </c>
      <c r="AF12" s="66" t="e">
        <f t="shared" ref="AF12:AF26" si="18">HLOOKUP(O12,$AA$10:$AC$26,ROW()-9,FALSE)</f>
        <v>#N/A</v>
      </c>
      <c r="AG12" s="66"/>
      <c r="AH12" s="87" t="s">
        <v>721</v>
      </c>
      <c r="AI12" s="80" t="e">
        <f>VLOOKUP($D$2,Teams!$B$2:$D$31,3,FALSE)</f>
        <v>#N/A</v>
      </c>
      <c r="AJ12" s="107">
        <v>1</v>
      </c>
      <c r="AK12" s="90" t="e">
        <f t="shared" ref="AK12:AK27" si="19">IF(AJ12&lt;=$AI$12,CONCATENATE($AI$10,IF(AJ12&lt;10,"0",""),AJ12),"")</f>
        <v>#N/A</v>
      </c>
      <c r="AL12" s="90" t="str">
        <f t="shared" ref="AL12:AL27" si="20">IFERROR(VLOOKUP(AK12,PLAYERS,2,FALSE),"")</f>
        <v/>
      </c>
      <c r="AM12" s="90" t="str">
        <f t="shared" ref="AM12:AM27" si="21">IFERROR(VLOOKUP(AK12,PLAYERS,3,FALSE),"")</f>
        <v/>
      </c>
      <c r="AN12" s="90" t="str">
        <f t="shared" ref="AN12:AN27" si="22">IF(AL12&lt;&gt;"",VLOOKUP(AK12,PLAYERS,4,FALSE),"")</f>
        <v/>
      </c>
      <c r="AO12" s="90" t="str">
        <f t="shared" ref="AO12:AO27" si="23">IF(AL12&lt;&gt;"",COUNTIF($C$11:$C$26,AL12),"")</f>
        <v/>
      </c>
      <c r="AP12" s="90" t="b">
        <f t="shared" ref="AP12:AP22" si="24">IF(AO12&gt;AM12,TRUE,FALSE)</f>
        <v>0</v>
      </c>
      <c r="AQ12" s="107">
        <v>1</v>
      </c>
      <c r="AR12" s="66" t="str">
        <f t="shared" ref="AR12:AR41" si="25">IFERROR(IF(HLOOKUP($AI$11,STARS,$AQ12+2,FALSE)="","",HLOOKUP($AI$11,STARS,$AQ12+2,FALSE)),"")</f>
        <v/>
      </c>
      <c r="AS12" s="68" t="b">
        <f>IF(IF(AND(AR11&lt;&gt;"",AR11&lt;&gt;"Select Star Player"),COUNTIF($C$27:$C$28,AR11),0)&gt;1,TRUE,FALSE)</f>
        <v>0</v>
      </c>
    </row>
    <row r="13" spans="1:45" s="2" customFormat="1" ht="24" customHeight="1" x14ac:dyDescent="0.25">
      <c r="A13" s="8"/>
      <c r="B13" s="9">
        <v>3</v>
      </c>
      <c r="C13" s="317"/>
      <c r="D13" s="318"/>
      <c r="E13" s="16" t="str">
        <f t="shared" si="1"/>
        <v/>
      </c>
      <c r="F13" s="16" t="str">
        <f t="shared" si="2"/>
        <v/>
      </c>
      <c r="G13" s="18" t="str">
        <f t="shared" si="3"/>
        <v/>
      </c>
      <c r="H13" s="18" t="str">
        <f t="shared" si="4"/>
        <v/>
      </c>
      <c r="I13" s="18" t="str">
        <f t="shared" si="5"/>
        <v/>
      </c>
      <c r="J13" s="282" t="str">
        <f t="shared" si="12"/>
        <v/>
      </c>
      <c r="K13" s="283"/>
      <c r="L13" s="200" t="str">
        <f t="shared" si="6"/>
        <v/>
      </c>
      <c r="M13" s="126"/>
      <c r="N13" s="129"/>
      <c r="O13" s="126"/>
      <c r="P13" s="130"/>
      <c r="Q13" s="6"/>
      <c r="R13" s="8"/>
      <c r="S13" s="67" t="str">
        <f>IFERROR(VLOOKUP($C13,PlayerList,11,FALSE),"")</f>
        <v/>
      </c>
      <c r="T13" s="66" t="str">
        <f t="shared" si="7"/>
        <v/>
      </c>
      <c r="U13" s="66" t="str">
        <f t="shared" si="8"/>
        <v/>
      </c>
      <c r="V13" s="66" t="b">
        <f t="shared" si="13"/>
        <v>0</v>
      </c>
      <c r="W13" s="66" t="b">
        <f t="shared" ca="1" si="14"/>
        <v>0</v>
      </c>
      <c r="X13" s="66" t="b">
        <f t="shared" ca="1" si="15"/>
        <v>0</v>
      </c>
      <c r="Y13" s="175">
        <f t="shared" si="16"/>
        <v>0</v>
      </c>
      <c r="Z13" s="68"/>
      <c r="AA13" s="67" t="e">
        <f t="shared" si="9"/>
        <v>#N/A</v>
      </c>
      <c r="AB13" s="66" t="e">
        <f t="shared" si="10"/>
        <v>#N/A</v>
      </c>
      <c r="AC13" s="66" t="str">
        <f t="shared" si="11"/>
        <v>$S$41:$S$55</v>
      </c>
      <c r="AD13" s="66"/>
      <c r="AE13" s="67" t="e">
        <f t="shared" si="17"/>
        <v>#N/A</v>
      </c>
      <c r="AF13" s="66" t="e">
        <f t="shared" si="18"/>
        <v>#N/A</v>
      </c>
      <c r="AG13" s="66"/>
      <c r="AH13" s="87" t="s">
        <v>722</v>
      </c>
      <c r="AI13" s="80" t="e">
        <f>VLOOKUP($D$2,Teams!$B$2:$E$31,4,FALSE)</f>
        <v>#N/A</v>
      </c>
      <c r="AJ13" s="107">
        <v>2</v>
      </c>
      <c r="AK13" s="90" t="e">
        <f t="shared" si="19"/>
        <v>#N/A</v>
      </c>
      <c r="AL13" s="90" t="str">
        <f t="shared" si="20"/>
        <v/>
      </c>
      <c r="AM13" s="90" t="str">
        <f t="shared" si="21"/>
        <v/>
      </c>
      <c r="AN13" s="90" t="str">
        <f t="shared" si="22"/>
        <v/>
      </c>
      <c r="AO13" s="90" t="str">
        <f t="shared" si="23"/>
        <v/>
      </c>
      <c r="AP13" s="90" t="b">
        <f t="shared" si="24"/>
        <v>0</v>
      </c>
      <c r="AQ13" s="107">
        <v>2</v>
      </c>
      <c r="AR13" s="66" t="str">
        <f t="shared" si="25"/>
        <v/>
      </c>
      <c r="AS13" s="68" t="b">
        <f t="shared" ref="AS13:AS28" si="26">IF(IF(AND(AR12&lt;&gt;"",AR12&lt;&gt;"Select Team to see available Star Players"),COUNTIF($C$27:$C$28,AR12),0)&gt;1,TRUE,FALSE)</f>
        <v>0</v>
      </c>
    </row>
    <row r="14" spans="1:45" s="2" customFormat="1" ht="24" customHeight="1" x14ac:dyDescent="0.25">
      <c r="A14" s="8"/>
      <c r="B14" s="9">
        <v>4</v>
      </c>
      <c r="C14" s="317"/>
      <c r="D14" s="318"/>
      <c r="E14" s="16" t="str">
        <f t="shared" si="1"/>
        <v/>
      </c>
      <c r="F14" s="16" t="str">
        <f t="shared" si="2"/>
        <v/>
      </c>
      <c r="G14" s="18" t="str">
        <f t="shared" si="3"/>
        <v/>
      </c>
      <c r="H14" s="18" t="str">
        <f t="shared" si="4"/>
        <v/>
      </c>
      <c r="I14" s="18" t="str">
        <f t="shared" si="5"/>
        <v/>
      </c>
      <c r="J14" s="282" t="str">
        <f t="shared" si="12"/>
        <v/>
      </c>
      <c r="K14" s="283"/>
      <c r="L14" s="200" t="str">
        <f t="shared" si="6"/>
        <v/>
      </c>
      <c r="M14" s="126"/>
      <c r="N14" s="129"/>
      <c r="O14" s="126"/>
      <c r="P14" s="130"/>
      <c r="Q14" s="6"/>
      <c r="R14" s="8"/>
      <c r="S14" s="67" t="str">
        <f t="shared" ref="S14:S26" si="27">IFERROR(VLOOKUP($C14,PlayerList,11,FALSE),"")</f>
        <v/>
      </c>
      <c r="T14" s="66" t="str">
        <f t="shared" si="7"/>
        <v/>
      </c>
      <c r="U14" s="66" t="str">
        <f t="shared" si="8"/>
        <v/>
      </c>
      <c r="V14" s="66" t="b">
        <f t="shared" si="13"/>
        <v>0</v>
      </c>
      <c r="W14" s="66" t="b">
        <f t="shared" ca="1" si="14"/>
        <v>0</v>
      </c>
      <c r="X14" s="66" t="b">
        <f t="shared" ca="1" si="15"/>
        <v>0</v>
      </c>
      <c r="Y14" s="175">
        <f t="shared" si="16"/>
        <v>0</v>
      </c>
      <c r="Z14" s="68"/>
      <c r="AA14" s="67" t="e">
        <f t="shared" si="9"/>
        <v>#N/A</v>
      </c>
      <c r="AB14" s="66" t="e">
        <f t="shared" si="10"/>
        <v>#N/A</v>
      </c>
      <c r="AC14" s="66" t="str">
        <f t="shared" si="11"/>
        <v>$S$41:$S$55</v>
      </c>
      <c r="AD14" s="66"/>
      <c r="AE14" s="67" t="e">
        <f t="shared" si="17"/>
        <v>#N/A</v>
      </c>
      <c r="AF14" s="66" t="e">
        <f t="shared" si="18"/>
        <v>#N/A</v>
      </c>
      <c r="AG14" s="66"/>
      <c r="AH14" s="87" t="s">
        <v>581</v>
      </c>
      <c r="AI14" s="80" t="str">
        <f>IFERROR(VLOOKUP($D$2,Teams!$B$2:'Teams'!$I$31,6,FALSE),"-")</f>
        <v>-</v>
      </c>
      <c r="AJ14" s="107">
        <v>3</v>
      </c>
      <c r="AK14" s="90" t="e">
        <f t="shared" si="19"/>
        <v>#N/A</v>
      </c>
      <c r="AL14" s="90" t="str">
        <f t="shared" si="20"/>
        <v/>
      </c>
      <c r="AM14" s="90" t="str">
        <f t="shared" si="21"/>
        <v/>
      </c>
      <c r="AN14" s="90" t="str">
        <f t="shared" si="22"/>
        <v/>
      </c>
      <c r="AO14" s="90" t="str">
        <f t="shared" si="23"/>
        <v/>
      </c>
      <c r="AP14" s="90" t="b">
        <f t="shared" si="24"/>
        <v>0</v>
      </c>
      <c r="AQ14" s="107">
        <v>3</v>
      </c>
      <c r="AR14" s="66" t="str">
        <f t="shared" si="25"/>
        <v/>
      </c>
      <c r="AS14" s="68" t="b">
        <f t="shared" si="26"/>
        <v>0</v>
      </c>
    </row>
    <row r="15" spans="1:45" s="2" customFormat="1" ht="24" customHeight="1" x14ac:dyDescent="0.25">
      <c r="A15" s="8"/>
      <c r="B15" s="9">
        <v>5</v>
      </c>
      <c r="C15" s="317"/>
      <c r="D15" s="318"/>
      <c r="E15" s="16" t="str">
        <f t="shared" si="1"/>
        <v/>
      </c>
      <c r="F15" s="16" t="str">
        <f t="shared" si="2"/>
        <v/>
      </c>
      <c r="G15" s="18" t="str">
        <f t="shared" si="3"/>
        <v/>
      </c>
      <c r="H15" s="18" t="str">
        <f t="shared" si="4"/>
        <v/>
      </c>
      <c r="I15" s="18" t="str">
        <f t="shared" si="5"/>
        <v/>
      </c>
      <c r="J15" s="282" t="str">
        <f t="shared" si="12"/>
        <v/>
      </c>
      <c r="K15" s="283"/>
      <c r="L15" s="200" t="str">
        <f t="shared" si="6"/>
        <v/>
      </c>
      <c r="M15" s="126"/>
      <c r="N15" s="129"/>
      <c r="O15" s="126"/>
      <c r="P15" s="130"/>
      <c r="Q15" s="6"/>
      <c r="R15" s="8"/>
      <c r="S15" s="67" t="str">
        <f t="shared" si="27"/>
        <v/>
      </c>
      <c r="T15" s="66" t="str">
        <f t="shared" si="7"/>
        <v/>
      </c>
      <c r="U15" s="66" t="str">
        <f t="shared" si="8"/>
        <v/>
      </c>
      <c r="V15" s="66" t="b">
        <f t="shared" si="13"/>
        <v>0</v>
      </c>
      <c r="W15" s="66" t="b">
        <f t="shared" ca="1" si="14"/>
        <v>0</v>
      </c>
      <c r="X15" s="66" t="b">
        <f t="shared" ca="1" si="15"/>
        <v>0</v>
      </c>
      <c r="Y15" s="175">
        <f t="shared" si="16"/>
        <v>0</v>
      </c>
      <c r="Z15" s="68"/>
      <c r="AA15" s="67" t="e">
        <f t="shared" si="9"/>
        <v>#N/A</v>
      </c>
      <c r="AB15" s="66" t="e">
        <f t="shared" si="10"/>
        <v>#N/A</v>
      </c>
      <c r="AC15" s="66" t="str">
        <f t="shared" si="11"/>
        <v>$S$41:$S$55</v>
      </c>
      <c r="AD15" s="66"/>
      <c r="AE15" s="67" t="e">
        <f t="shared" si="17"/>
        <v>#N/A</v>
      </c>
      <c r="AF15" s="66" t="e">
        <f t="shared" si="18"/>
        <v>#N/A</v>
      </c>
      <c r="AG15" s="66"/>
      <c r="AH15" s="87" t="s">
        <v>732</v>
      </c>
      <c r="AI15" s="68" t="str">
        <f>IF(ISNUMBER(SEARCH("NUR",$AI$11)),"Plague Doctor",IF(ISNUMBER(SEARCH("SSL",$AI$11)),"Mortuary Assistant",""))</f>
        <v/>
      </c>
      <c r="AJ15" s="107">
        <v>4</v>
      </c>
      <c r="AK15" s="90" t="e">
        <f t="shared" si="19"/>
        <v>#N/A</v>
      </c>
      <c r="AL15" s="90" t="str">
        <f t="shared" si="20"/>
        <v/>
      </c>
      <c r="AM15" s="90" t="str">
        <f t="shared" si="21"/>
        <v/>
      </c>
      <c r="AN15" s="90" t="str">
        <f t="shared" si="22"/>
        <v/>
      </c>
      <c r="AO15" s="90" t="str">
        <f t="shared" si="23"/>
        <v/>
      </c>
      <c r="AP15" s="90" t="b">
        <f t="shared" si="24"/>
        <v>0</v>
      </c>
      <c r="AQ15" s="107">
        <v>4</v>
      </c>
      <c r="AR15" s="66" t="str">
        <f t="shared" si="25"/>
        <v/>
      </c>
      <c r="AS15" s="68" t="b">
        <f t="shared" si="26"/>
        <v>0</v>
      </c>
    </row>
    <row r="16" spans="1:45" s="2" customFormat="1" ht="24" customHeight="1" x14ac:dyDescent="0.25">
      <c r="A16" s="8"/>
      <c r="B16" s="9">
        <v>6</v>
      </c>
      <c r="C16" s="317"/>
      <c r="D16" s="318"/>
      <c r="E16" s="16" t="str">
        <f t="shared" si="1"/>
        <v/>
      </c>
      <c r="F16" s="16" t="str">
        <f t="shared" si="2"/>
        <v/>
      </c>
      <c r="G16" s="18" t="str">
        <f t="shared" si="3"/>
        <v/>
      </c>
      <c r="H16" s="18" t="str">
        <f t="shared" si="4"/>
        <v/>
      </c>
      <c r="I16" s="18" t="str">
        <f t="shared" si="5"/>
        <v/>
      </c>
      <c r="J16" s="282" t="str">
        <f t="shared" si="12"/>
        <v/>
      </c>
      <c r="K16" s="283"/>
      <c r="L16" s="200" t="str">
        <f t="shared" si="6"/>
        <v/>
      </c>
      <c r="M16" s="126"/>
      <c r="N16" s="129"/>
      <c r="O16" s="126"/>
      <c r="P16" s="130"/>
      <c r="Q16" s="6"/>
      <c r="R16" s="8"/>
      <c r="S16" s="67" t="str">
        <f t="shared" si="27"/>
        <v/>
      </c>
      <c r="T16" s="66" t="str">
        <f t="shared" si="7"/>
        <v/>
      </c>
      <c r="U16" s="66" t="str">
        <f t="shared" si="8"/>
        <v/>
      </c>
      <c r="V16" s="66" t="b">
        <f t="shared" si="13"/>
        <v>0</v>
      </c>
      <c r="W16" s="66" t="b">
        <f t="shared" ca="1" si="14"/>
        <v>0</v>
      </c>
      <c r="X16" s="66" t="b">
        <f t="shared" ca="1" si="15"/>
        <v>0</v>
      </c>
      <c r="Y16" s="175">
        <f t="shared" si="16"/>
        <v>0</v>
      </c>
      <c r="Z16" s="68"/>
      <c r="AA16" s="67" t="e">
        <f t="shared" si="9"/>
        <v>#N/A</v>
      </c>
      <c r="AB16" s="66" t="e">
        <f t="shared" si="10"/>
        <v>#N/A</v>
      </c>
      <c r="AC16" s="66" t="str">
        <f t="shared" si="11"/>
        <v>$S$41:$S$55</v>
      </c>
      <c r="AD16" s="66"/>
      <c r="AE16" s="67" t="e">
        <f t="shared" si="17"/>
        <v>#N/A</v>
      </c>
      <c r="AF16" s="66" t="e">
        <f t="shared" si="18"/>
        <v>#N/A</v>
      </c>
      <c r="AG16" s="66"/>
      <c r="AH16" s="87" t="s">
        <v>733</v>
      </c>
      <c r="AI16" s="68">
        <f>IF(ISNUMBER(SEARCH("HTC",$AI$11)),100000,300000)</f>
        <v>300000</v>
      </c>
      <c r="AJ16" s="107">
        <v>5</v>
      </c>
      <c r="AK16" s="90" t="e">
        <f t="shared" si="19"/>
        <v>#N/A</v>
      </c>
      <c r="AL16" s="90" t="str">
        <f t="shared" si="20"/>
        <v/>
      </c>
      <c r="AM16" s="90" t="str">
        <f t="shared" si="21"/>
        <v/>
      </c>
      <c r="AN16" s="90" t="str">
        <f t="shared" si="22"/>
        <v/>
      </c>
      <c r="AO16" s="90" t="str">
        <f t="shared" si="23"/>
        <v/>
      </c>
      <c r="AP16" s="90" t="b">
        <f t="shared" si="24"/>
        <v>0</v>
      </c>
      <c r="AQ16" s="107">
        <v>5</v>
      </c>
      <c r="AR16" s="66" t="str">
        <f t="shared" si="25"/>
        <v/>
      </c>
      <c r="AS16" s="68" t="b">
        <f t="shared" si="26"/>
        <v>0</v>
      </c>
    </row>
    <row r="17" spans="1:45" s="2" customFormat="1" ht="24" customHeight="1" x14ac:dyDescent="0.25">
      <c r="A17" s="8"/>
      <c r="B17" s="9">
        <v>7</v>
      </c>
      <c r="C17" s="317"/>
      <c r="D17" s="318"/>
      <c r="E17" s="16" t="str">
        <f t="shared" si="1"/>
        <v/>
      </c>
      <c r="F17" s="16" t="str">
        <f t="shared" si="2"/>
        <v/>
      </c>
      <c r="G17" s="18" t="str">
        <f t="shared" si="3"/>
        <v/>
      </c>
      <c r="H17" s="18" t="str">
        <f t="shared" si="4"/>
        <v/>
      </c>
      <c r="I17" s="18" t="str">
        <f t="shared" si="5"/>
        <v/>
      </c>
      <c r="J17" s="282" t="str">
        <f t="shared" si="12"/>
        <v/>
      </c>
      <c r="K17" s="283"/>
      <c r="L17" s="200" t="str">
        <f t="shared" si="6"/>
        <v/>
      </c>
      <c r="M17" s="126"/>
      <c r="N17" s="129"/>
      <c r="O17" s="126"/>
      <c r="P17" s="130"/>
      <c r="Q17" s="6"/>
      <c r="R17" s="8"/>
      <c r="S17" s="67" t="str">
        <f t="shared" si="27"/>
        <v/>
      </c>
      <c r="T17" s="66" t="str">
        <f t="shared" si="7"/>
        <v/>
      </c>
      <c r="U17" s="66" t="str">
        <f t="shared" si="8"/>
        <v/>
      </c>
      <c r="V17" s="66" t="b">
        <f t="shared" si="13"/>
        <v>0</v>
      </c>
      <c r="W17" s="66" t="b">
        <f t="shared" ca="1" si="14"/>
        <v>0</v>
      </c>
      <c r="X17" s="66" t="b">
        <f t="shared" ca="1" si="15"/>
        <v>0</v>
      </c>
      <c r="Y17" s="175">
        <f t="shared" si="16"/>
        <v>0</v>
      </c>
      <c r="Z17" s="68"/>
      <c r="AA17" s="67" t="e">
        <f t="shared" si="9"/>
        <v>#N/A</v>
      </c>
      <c r="AB17" s="66" t="e">
        <f t="shared" si="10"/>
        <v>#N/A</v>
      </c>
      <c r="AC17" s="66" t="str">
        <f t="shared" si="11"/>
        <v>$S$41:$S$55</v>
      </c>
      <c r="AD17" s="66"/>
      <c r="AE17" s="67" t="e">
        <f t="shared" si="17"/>
        <v>#N/A</v>
      </c>
      <c r="AF17" s="66" t="e">
        <f t="shared" si="18"/>
        <v>#N/A</v>
      </c>
      <c r="AG17" s="66"/>
      <c r="AH17" s="87" t="s">
        <v>734</v>
      </c>
      <c r="AI17" s="68">
        <f>IF(ISNUMBER(SEARCH("BAC",$AI$11)),50000,100000)</f>
        <v>100000</v>
      </c>
      <c r="AJ17" s="107">
        <v>6</v>
      </c>
      <c r="AK17" s="90" t="e">
        <f t="shared" si="19"/>
        <v>#N/A</v>
      </c>
      <c r="AL17" s="90" t="str">
        <f t="shared" si="20"/>
        <v/>
      </c>
      <c r="AM17" s="90" t="str">
        <f t="shared" si="21"/>
        <v/>
      </c>
      <c r="AN17" s="90" t="str">
        <f t="shared" si="22"/>
        <v/>
      </c>
      <c r="AO17" s="90" t="str">
        <f t="shared" si="23"/>
        <v/>
      </c>
      <c r="AP17" s="90" t="b">
        <f t="shared" si="24"/>
        <v>0</v>
      </c>
      <c r="AQ17" s="107">
        <v>6</v>
      </c>
      <c r="AR17" s="66" t="str">
        <f t="shared" si="25"/>
        <v/>
      </c>
      <c r="AS17" s="68" t="b">
        <f t="shared" si="26"/>
        <v>0</v>
      </c>
    </row>
    <row r="18" spans="1:45" s="2" customFormat="1" ht="24" customHeight="1" x14ac:dyDescent="0.25">
      <c r="A18" s="8"/>
      <c r="B18" s="9">
        <v>8</v>
      </c>
      <c r="C18" s="317"/>
      <c r="D18" s="318"/>
      <c r="E18" s="16" t="str">
        <f t="shared" si="1"/>
        <v/>
      </c>
      <c r="F18" s="16" t="str">
        <f t="shared" si="2"/>
        <v/>
      </c>
      <c r="G18" s="18" t="str">
        <f t="shared" si="3"/>
        <v/>
      </c>
      <c r="H18" s="18" t="str">
        <f t="shared" si="4"/>
        <v/>
      </c>
      <c r="I18" s="18" t="str">
        <f t="shared" si="5"/>
        <v/>
      </c>
      <c r="J18" s="282" t="str">
        <f t="shared" si="12"/>
        <v/>
      </c>
      <c r="K18" s="283"/>
      <c r="L18" s="200" t="str">
        <f t="shared" si="6"/>
        <v/>
      </c>
      <c r="M18" s="126"/>
      <c r="N18" s="129"/>
      <c r="O18" s="126"/>
      <c r="P18" s="130"/>
      <c r="Q18" s="6"/>
      <c r="R18" s="8"/>
      <c r="S18" s="67" t="str">
        <f t="shared" si="27"/>
        <v/>
      </c>
      <c r="T18" s="66" t="str">
        <f t="shared" si="7"/>
        <v/>
      </c>
      <c r="U18" s="66" t="str">
        <f t="shared" si="8"/>
        <v/>
      </c>
      <c r="V18" s="66" t="b">
        <f t="shared" si="13"/>
        <v>0</v>
      </c>
      <c r="W18" s="66" t="b">
        <f t="shared" ca="1" si="14"/>
        <v>0</v>
      </c>
      <c r="X18" s="66" t="b">
        <f t="shared" ca="1" si="15"/>
        <v>0</v>
      </c>
      <c r="Y18" s="175">
        <f t="shared" si="16"/>
        <v>0</v>
      </c>
      <c r="Z18" s="68"/>
      <c r="AA18" s="67" t="e">
        <f t="shared" si="9"/>
        <v>#N/A</v>
      </c>
      <c r="AB18" s="66" t="e">
        <f t="shared" si="10"/>
        <v>#N/A</v>
      </c>
      <c r="AC18" s="66" t="str">
        <f t="shared" si="11"/>
        <v>$S$41:$S$55</v>
      </c>
      <c r="AD18" s="66"/>
      <c r="AE18" s="67" t="e">
        <f t="shared" si="17"/>
        <v>#N/A</v>
      </c>
      <c r="AF18" s="66" t="e">
        <f t="shared" si="18"/>
        <v>#N/A</v>
      </c>
      <c r="AG18" s="66"/>
      <c r="AH18" s="87" t="s">
        <v>689</v>
      </c>
      <c r="AI18" s="68">
        <f>IF(ISNUMBER(SEARCH("LCL",$AI$11)),80000,100000)</f>
        <v>100000</v>
      </c>
      <c r="AJ18" s="107">
        <v>7</v>
      </c>
      <c r="AK18" s="90" t="e">
        <f t="shared" si="19"/>
        <v>#N/A</v>
      </c>
      <c r="AL18" s="90" t="str">
        <f t="shared" si="20"/>
        <v/>
      </c>
      <c r="AM18" s="90" t="str">
        <f t="shared" si="21"/>
        <v/>
      </c>
      <c r="AN18" s="90" t="str">
        <f t="shared" si="22"/>
        <v/>
      </c>
      <c r="AO18" s="90" t="str">
        <f t="shared" si="23"/>
        <v/>
      </c>
      <c r="AP18" s="90" t="b">
        <f t="shared" si="24"/>
        <v>0</v>
      </c>
      <c r="AQ18" s="107">
        <v>7</v>
      </c>
      <c r="AR18" s="66" t="str">
        <f t="shared" si="25"/>
        <v/>
      </c>
      <c r="AS18" s="68" t="b">
        <f t="shared" si="26"/>
        <v>0</v>
      </c>
    </row>
    <row r="19" spans="1:45" s="2" customFormat="1" ht="24" customHeight="1" x14ac:dyDescent="0.25">
      <c r="A19" s="8"/>
      <c r="B19" s="9">
        <v>9</v>
      </c>
      <c r="C19" s="317"/>
      <c r="D19" s="318"/>
      <c r="E19" s="16" t="str">
        <f t="shared" si="1"/>
        <v/>
      </c>
      <c r="F19" s="16" t="str">
        <f t="shared" si="2"/>
        <v/>
      </c>
      <c r="G19" s="18" t="str">
        <f t="shared" si="3"/>
        <v/>
      </c>
      <c r="H19" s="18" t="str">
        <f t="shared" si="4"/>
        <v/>
      </c>
      <c r="I19" s="18" t="str">
        <f t="shared" si="5"/>
        <v/>
      </c>
      <c r="J19" s="282" t="str">
        <f t="shared" si="12"/>
        <v/>
      </c>
      <c r="K19" s="283"/>
      <c r="L19" s="200" t="str">
        <f t="shared" si="6"/>
        <v/>
      </c>
      <c r="M19" s="126"/>
      <c r="N19" s="129"/>
      <c r="O19" s="126"/>
      <c r="P19" s="130"/>
      <c r="Q19" s="6"/>
      <c r="R19" s="8"/>
      <c r="S19" s="67" t="str">
        <f t="shared" si="27"/>
        <v/>
      </c>
      <c r="T19" s="66" t="str">
        <f t="shared" si="7"/>
        <v/>
      </c>
      <c r="U19" s="66" t="str">
        <f t="shared" si="8"/>
        <v/>
      </c>
      <c r="V19" s="66" t="b">
        <f t="shared" si="13"/>
        <v>0</v>
      </c>
      <c r="W19" s="66" t="b">
        <f t="shared" ca="1" si="14"/>
        <v>0</v>
      </c>
      <c r="X19" s="66" t="b">
        <f t="shared" ca="1" si="15"/>
        <v>0</v>
      </c>
      <c r="Y19" s="175">
        <f t="shared" si="16"/>
        <v>0</v>
      </c>
      <c r="Z19" s="68"/>
      <c r="AA19" s="67" t="e">
        <f t="shared" si="9"/>
        <v>#N/A</v>
      </c>
      <c r="AB19" s="66" t="e">
        <f t="shared" si="10"/>
        <v>#N/A</v>
      </c>
      <c r="AC19" s="66" t="str">
        <f t="shared" si="11"/>
        <v>$S$41:$S$55</v>
      </c>
      <c r="AD19" s="66"/>
      <c r="AE19" s="67" t="e">
        <f t="shared" si="17"/>
        <v>#N/A</v>
      </c>
      <c r="AF19" s="66" t="e">
        <f t="shared" si="18"/>
        <v>#N/A</v>
      </c>
      <c r="AG19" s="66"/>
      <c r="AH19" s="67"/>
      <c r="AI19" s="68"/>
      <c r="AJ19" s="107">
        <v>8</v>
      </c>
      <c r="AK19" s="90" t="e">
        <f t="shared" si="19"/>
        <v>#N/A</v>
      </c>
      <c r="AL19" s="90" t="str">
        <f t="shared" si="20"/>
        <v/>
      </c>
      <c r="AM19" s="90" t="str">
        <f t="shared" si="21"/>
        <v/>
      </c>
      <c r="AN19" s="90" t="str">
        <f t="shared" si="22"/>
        <v/>
      </c>
      <c r="AO19" s="90" t="str">
        <f t="shared" si="23"/>
        <v/>
      </c>
      <c r="AP19" s="90" t="b">
        <f t="shared" si="24"/>
        <v>0</v>
      </c>
      <c r="AQ19" s="107">
        <v>8</v>
      </c>
      <c r="AR19" s="66" t="str">
        <f t="shared" si="25"/>
        <v/>
      </c>
      <c r="AS19" s="68" t="b">
        <f t="shared" si="26"/>
        <v>0</v>
      </c>
    </row>
    <row r="20" spans="1:45" s="2" customFormat="1" ht="24" customHeight="1" x14ac:dyDescent="0.25">
      <c r="A20" s="8"/>
      <c r="B20" s="9">
        <v>10</v>
      </c>
      <c r="C20" s="317"/>
      <c r="D20" s="318"/>
      <c r="E20" s="16" t="str">
        <f t="shared" si="1"/>
        <v/>
      </c>
      <c r="F20" s="16" t="str">
        <f t="shared" si="2"/>
        <v/>
      </c>
      <c r="G20" s="18" t="str">
        <f t="shared" si="3"/>
        <v/>
      </c>
      <c r="H20" s="18" t="str">
        <f t="shared" si="4"/>
        <v/>
      </c>
      <c r="I20" s="18" t="str">
        <f t="shared" si="5"/>
        <v/>
      </c>
      <c r="J20" s="282" t="str">
        <f t="shared" si="12"/>
        <v/>
      </c>
      <c r="K20" s="283"/>
      <c r="L20" s="200" t="str">
        <f t="shared" si="6"/>
        <v/>
      </c>
      <c r="M20" s="126"/>
      <c r="N20" s="129"/>
      <c r="O20" s="126"/>
      <c r="P20" s="130"/>
      <c r="Q20" s="6"/>
      <c r="R20" s="8"/>
      <c r="S20" s="67" t="str">
        <f t="shared" si="27"/>
        <v/>
      </c>
      <c r="T20" s="66" t="str">
        <f t="shared" si="7"/>
        <v/>
      </c>
      <c r="U20" s="66" t="str">
        <f t="shared" si="8"/>
        <v/>
      </c>
      <c r="V20" s="66" t="b">
        <f t="shared" si="13"/>
        <v>0</v>
      </c>
      <c r="W20" s="66" t="b">
        <f t="shared" ca="1" si="14"/>
        <v>0</v>
      </c>
      <c r="X20" s="66" t="b">
        <f t="shared" ca="1" si="15"/>
        <v>0</v>
      </c>
      <c r="Y20" s="175">
        <f t="shared" si="16"/>
        <v>0</v>
      </c>
      <c r="Z20" s="68"/>
      <c r="AA20" s="67" t="e">
        <f t="shared" si="9"/>
        <v>#N/A</v>
      </c>
      <c r="AB20" s="66" t="e">
        <f t="shared" si="10"/>
        <v>#N/A</v>
      </c>
      <c r="AC20" s="66" t="str">
        <f t="shared" si="11"/>
        <v>$S$41:$S$55</v>
      </c>
      <c r="AD20" s="66"/>
      <c r="AE20" s="67" t="e">
        <f t="shared" si="17"/>
        <v>#N/A</v>
      </c>
      <c r="AF20" s="66" t="e">
        <f t="shared" si="18"/>
        <v>#N/A</v>
      </c>
      <c r="AG20" s="66"/>
      <c r="AH20" s="67"/>
      <c r="AI20" s="68"/>
      <c r="AJ20" s="107">
        <v>9</v>
      </c>
      <c r="AK20" s="90" t="e">
        <f t="shared" si="19"/>
        <v>#N/A</v>
      </c>
      <c r="AL20" s="90" t="str">
        <f t="shared" si="20"/>
        <v/>
      </c>
      <c r="AM20" s="90" t="str">
        <f t="shared" si="21"/>
        <v/>
      </c>
      <c r="AN20" s="90" t="str">
        <f t="shared" si="22"/>
        <v/>
      </c>
      <c r="AO20" s="90" t="str">
        <f t="shared" si="23"/>
        <v/>
      </c>
      <c r="AP20" s="90" t="b">
        <f t="shared" si="24"/>
        <v>0</v>
      </c>
      <c r="AQ20" s="107">
        <v>9</v>
      </c>
      <c r="AR20" s="66" t="str">
        <f t="shared" si="25"/>
        <v/>
      </c>
      <c r="AS20" s="68" t="b">
        <f t="shared" si="26"/>
        <v>0</v>
      </c>
    </row>
    <row r="21" spans="1:45" s="2" customFormat="1" ht="24" customHeight="1" x14ac:dyDescent="0.25">
      <c r="A21" s="8"/>
      <c r="B21" s="9">
        <v>11</v>
      </c>
      <c r="C21" s="317"/>
      <c r="D21" s="318"/>
      <c r="E21" s="16" t="str">
        <f t="shared" si="1"/>
        <v/>
      </c>
      <c r="F21" s="16" t="str">
        <f t="shared" si="2"/>
        <v/>
      </c>
      <c r="G21" s="18" t="str">
        <f t="shared" si="3"/>
        <v/>
      </c>
      <c r="H21" s="18" t="str">
        <f t="shared" si="4"/>
        <v/>
      </c>
      <c r="I21" s="18" t="str">
        <f t="shared" si="5"/>
        <v/>
      </c>
      <c r="J21" s="282" t="str">
        <f t="shared" si="12"/>
        <v/>
      </c>
      <c r="K21" s="283"/>
      <c r="L21" s="200" t="str">
        <f t="shared" si="6"/>
        <v/>
      </c>
      <c r="M21" s="126"/>
      <c r="N21" s="129"/>
      <c r="O21" s="126"/>
      <c r="P21" s="130"/>
      <c r="Q21" s="6"/>
      <c r="R21" s="8"/>
      <c r="S21" s="67" t="str">
        <f t="shared" si="27"/>
        <v/>
      </c>
      <c r="T21" s="66" t="str">
        <f t="shared" si="7"/>
        <v/>
      </c>
      <c r="U21" s="66" t="str">
        <f t="shared" si="8"/>
        <v/>
      </c>
      <c r="V21" s="66" t="b">
        <f t="shared" si="13"/>
        <v>0</v>
      </c>
      <c r="W21" s="66" t="b">
        <f t="shared" ca="1" si="14"/>
        <v>0</v>
      </c>
      <c r="X21" s="66" t="b">
        <f t="shared" ca="1" si="15"/>
        <v>0</v>
      </c>
      <c r="Y21" s="175">
        <f t="shared" si="16"/>
        <v>0</v>
      </c>
      <c r="Z21" s="68"/>
      <c r="AA21" s="67" t="e">
        <f t="shared" si="9"/>
        <v>#N/A</v>
      </c>
      <c r="AB21" s="66" t="e">
        <f t="shared" si="10"/>
        <v>#N/A</v>
      </c>
      <c r="AC21" s="66" t="str">
        <f t="shared" si="11"/>
        <v>$S$41:$S$55</v>
      </c>
      <c r="AD21" s="66"/>
      <c r="AE21" s="67" t="e">
        <f t="shared" si="17"/>
        <v>#N/A</v>
      </c>
      <c r="AF21" s="66" t="e">
        <f t="shared" si="18"/>
        <v>#N/A</v>
      </c>
      <c r="AG21" s="66"/>
      <c r="AH21" s="67"/>
      <c r="AI21" s="68"/>
      <c r="AJ21" s="107">
        <v>10</v>
      </c>
      <c r="AK21" s="90" t="e">
        <f t="shared" si="19"/>
        <v>#N/A</v>
      </c>
      <c r="AL21" s="90" t="str">
        <f t="shared" si="20"/>
        <v/>
      </c>
      <c r="AM21" s="90" t="str">
        <f t="shared" si="21"/>
        <v/>
      </c>
      <c r="AN21" s="90" t="str">
        <f t="shared" si="22"/>
        <v/>
      </c>
      <c r="AO21" s="90" t="str">
        <f t="shared" si="23"/>
        <v/>
      </c>
      <c r="AP21" s="90" t="b">
        <f t="shared" si="24"/>
        <v>0</v>
      </c>
      <c r="AQ21" s="107">
        <v>10</v>
      </c>
      <c r="AR21" s="66" t="str">
        <f t="shared" si="25"/>
        <v/>
      </c>
      <c r="AS21" s="68" t="b">
        <f t="shared" si="26"/>
        <v>0</v>
      </c>
    </row>
    <row r="22" spans="1:45" s="2" customFormat="1" ht="24" customHeight="1" x14ac:dyDescent="0.25">
      <c r="A22" s="8"/>
      <c r="B22" s="9">
        <v>12</v>
      </c>
      <c r="C22" s="317"/>
      <c r="D22" s="318"/>
      <c r="E22" s="16" t="str">
        <f t="shared" si="1"/>
        <v/>
      </c>
      <c r="F22" s="16" t="str">
        <f t="shared" si="2"/>
        <v/>
      </c>
      <c r="G22" s="18" t="str">
        <f t="shared" si="3"/>
        <v/>
      </c>
      <c r="H22" s="18" t="str">
        <f t="shared" si="4"/>
        <v/>
      </c>
      <c r="I22" s="18" t="str">
        <f t="shared" si="5"/>
        <v/>
      </c>
      <c r="J22" s="282" t="str">
        <f t="shared" si="12"/>
        <v/>
      </c>
      <c r="K22" s="283"/>
      <c r="L22" s="200" t="str">
        <f t="shared" si="6"/>
        <v/>
      </c>
      <c r="M22" s="126"/>
      <c r="N22" s="129"/>
      <c r="O22" s="126"/>
      <c r="P22" s="130"/>
      <c r="Q22" s="6"/>
      <c r="R22" s="8"/>
      <c r="S22" s="67" t="str">
        <f t="shared" si="27"/>
        <v/>
      </c>
      <c r="T22" s="66" t="str">
        <f t="shared" si="7"/>
        <v/>
      </c>
      <c r="U22" s="66" t="str">
        <f t="shared" si="8"/>
        <v/>
      </c>
      <c r="V22" s="66" t="b">
        <f t="shared" si="13"/>
        <v>0</v>
      </c>
      <c r="W22" s="66" t="b">
        <f t="shared" ca="1" si="14"/>
        <v>0</v>
      </c>
      <c r="X22" s="66" t="b">
        <f t="shared" ca="1" si="15"/>
        <v>0</v>
      </c>
      <c r="Y22" s="175">
        <f t="shared" si="16"/>
        <v>0</v>
      </c>
      <c r="Z22" s="68"/>
      <c r="AA22" s="67" t="e">
        <f t="shared" si="9"/>
        <v>#N/A</v>
      </c>
      <c r="AB22" s="66" t="e">
        <f t="shared" si="10"/>
        <v>#N/A</v>
      </c>
      <c r="AC22" s="66" t="str">
        <f t="shared" si="11"/>
        <v>$S$41:$S$55</v>
      </c>
      <c r="AD22" s="66"/>
      <c r="AE22" s="67" t="e">
        <f t="shared" si="17"/>
        <v>#N/A</v>
      </c>
      <c r="AF22" s="66" t="e">
        <f t="shared" si="18"/>
        <v>#N/A</v>
      </c>
      <c r="AG22" s="66"/>
      <c r="AH22" s="67"/>
      <c r="AI22" s="68"/>
      <c r="AJ22" s="107">
        <v>11</v>
      </c>
      <c r="AK22" s="90" t="e">
        <f t="shared" si="19"/>
        <v>#N/A</v>
      </c>
      <c r="AL22" s="90" t="str">
        <f t="shared" si="20"/>
        <v/>
      </c>
      <c r="AM22" s="90" t="str">
        <f t="shared" si="21"/>
        <v/>
      </c>
      <c r="AN22" s="90" t="str">
        <f t="shared" si="22"/>
        <v/>
      </c>
      <c r="AO22" s="90" t="str">
        <f t="shared" si="23"/>
        <v/>
      </c>
      <c r="AP22" s="90" t="b">
        <f t="shared" si="24"/>
        <v>0</v>
      </c>
      <c r="AQ22" s="107">
        <v>11</v>
      </c>
      <c r="AR22" s="66" t="str">
        <f t="shared" si="25"/>
        <v/>
      </c>
      <c r="AS22" s="68" t="b">
        <f t="shared" si="26"/>
        <v>0</v>
      </c>
    </row>
    <row r="23" spans="1:45" s="2" customFormat="1" ht="24" customHeight="1" x14ac:dyDescent="0.25">
      <c r="A23" s="8"/>
      <c r="B23" s="9">
        <v>13</v>
      </c>
      <c r="C23" s="317"/>
      <c r="D23" s="318"/>
      <c r="E23" s="16" t="str">
        <f t="shared" si="1"/>
        <v/>
      </c>
      <c r="F23" s="16" t="str">
        <f t="shared" si="2"/>
        <v/>
      </c>
      <c r="G23" s="18" t="str">
        <f t="shared" si="3"/>
        <v/>
      </c>
      <c r="H23" s="18" t="str">
        <f t="shared" si="4"/>
        <v/>
      </c>
      <c r="I23" s="18" t="str">
        <f t="shared" si="5"/>
        <v/>
      </c>
      <c r="J23" s="282" t="str">
        <f t="shared" si="12"/>
        <v/>
      </c>
      <c r="K23" s="283"/>
      <c r="L23" s="200" t="str">
        <f t="shared" si="6"/>
        <v/>
      </c>
      <c r="M23" s="126"/>
      <c r="N23" s="129"/>
      <c r="O23" s="126"/>
      <c r="P23" s="130"/>
      <c r="Q23" s="6"/>
      <c r="R23" s="8"/>
      <c r="S23" s="67" t="str">
        <f t="shared" si="27"/>
        <v/>
      </c>
      <c r="T23" s="66" t="str">
        <f t="shared" si="7"/>
        <v/>
      </c>
      <c r="U23" s="66" t="str">
        <f t="shared" si="8"/>
        <v/>
      </c>
      <c r="V23" s="66" t="b">
        <f t="shared" si="13"/>
        <v>0</v>
      </c>
      <c r="W23" s="66" t="b">
        <f t="shared" ca="1" si="14"/>
        <v>0</v>
      </c>
      <c r="X23" s="66" t="b">
        <f t="shared" ca="1" si="15"/>
        <v>0</v>
      </c>
      <c r="Y23" s="175">
        <f t="shared" si="16"/>
        <v>0</v>
      </c>
      <c r="Z23" s="68"/>
      <c r="AA23" s="67" t="e">
        <f t="shared" si="9"/>
        <v>#N/A</v>
      </c>
      <c r="AB23" s="66" t="e">
        <f t="shared" si="10"/>
        <v>#N/A</v>
      </c>
      <c r="AC23" s="66" t="str">
        <f t="shared" si="11"/>
        <v>$S$41:$S$55</v>
      </c>
      <c r="AD23" s="66"/>
      <c r="AE23" s="67" t="e">
        <f t="shared" si="17"/>
        <v>#N/A</v>
      </c>
      <c r="AF23" s="66" t="e">
        <f t="shared" si="18"/>
        <v>#N/A</v>
      </c>
      <c r="AG23" s="66"/>
      <c r="AH23" s="67"/>
      <c r="AI23" s="68"/>
      <c r="AJ23" s="107">
        <v>12</v>
      </c>
      <c r="AK23" s="90" t="e">
        <f t="shared" si="19"/>
        <v>#N/A</v>
      </c>
      <c r="AL23" s="90" t="str">
        <f t="shared" si="20"/>
        <v/>
      </c>
      <c r="AM23" s="90" t="str">
        <f t="shared" si="21"/>
        <v/>
      </c>
      <c r="AN23" s="90" t="str">
        <f t="shared" si="22"/>
        <v/>
      </c>
      <c r="AO23" s="90" t="str">
        <f t="shared" si="23"/>
        <v/>
      </c>
      <c r="AP23" s="90"/>
      <c r="AQ23" s="107">
        <v>12</v>
      </c>
      <c r="AR23" s="66" t="str">
        <f t="shared" si="25"/>
        <v/>
      </c>
      <c r="AS23" s="68" t="b">
        <f t="shared" si="26"/>
        <v>0</v>
      </c>
    </row>
    <row r="24" spans="1:45" s="2" customFormat="1" ht="24" customHeight="1" x14ac:dyDescent="0.25">
      <c r="A24" s="8"/>
      <c r="B24" s="9">
        <v>14</v>
      </c>
      <c r="C24" s="317"/>
      <c r="D24" s="318"/>
      <c r="E24" s="16" t="str">
        <f t="shared" si="1"/>
        <v/>
      </c>
      <c r="F24" s="16" t="str">
        <f t="shared" si="2"/>
        <v/>
      </c>
      <c r="G24" s="18" t="str">
        <f t="shared" si="3"/>
        <v/>
      </c>
      <c r="H24" s="18" t="str">
        <f t="shared" si="4"/>
        <v/>
      </c>
      <c r="I24" s="18" t="str">
        <f t="shared" si="5"/>
        <v/>
      </c>
      <c r="J24" s="282" t="str">
        <f t="shared" si="12"/>
        <v/>
      </c>
      <c r="K24" s="283"/>
      <c r="L24" s="200" t="str">
        <f t="shared" si="6"/>
        <v/>
      </c>
      <c r="M24" s="126"/>
      <c r="N24" s="129"/>
      <c r="O24" s="126"/>
      <c r="P24" s="130"/>
      <c r="Q24" s="6"/>
      <c r="R24" s="8"/>
      <c r="S24" s="67" t="str">
        <f t="shared" si="27"/>
        <v/>
      </c>
      <c r="T24" s="66" t="str">
        <f t="shared" si="7"/>
        <v/>
      </c>
      <c r="U24" s="66" t="str">
        <f t="shared" si="8"/>
        <v/>
      </c>
      <c r="V24" s="66" t="b">
        <f t="shared" si="13"/>
        <v>0</v>
      </c>
      <c r="W24" s="66" t="b">
        <f t="shared" ca="1" si="14"/>
        <v>0</v>
      </c>
      <c r="X24" s="66" t="b">
        <f t="shared" ca="1" si="15"/>
        <v>0</v>
      </c>
      <c r="Y24" s="175">
        <f t="shared" si="16"/>
        <v>0</v>
      </c>
      <c r="Z24" s="68"/>
      <c r="AA24" s="67" t="e">
        <f t="shared" si="9"/>
        <v>#N/A</v>
      </c>
      <c r="AB24" s="66" t="e">
        <f t="shared" si="10"/>
        <v>#N/A</v>
      </c>
      <c r="AC24" s="66" t="str">
        <f t="shared" si="11"/>
        <v>$S$41:$S$55</v>
      </c>
      <c r="AD24" s="66"/>
      <c r="AE24" s="67" t="e">
        <f t="shared" si="17"/>
        <v>#N/A</v>
      </c>
      <c r="AF24" s="66" t="e">
        <f t="shared" si="18"/>
        <v>#N/A</v>
      </c>
      <c r="AG24" s="66"/>
      <c r="AH24" s="67"/>
      <c r="AI24" s="68"/>
      <c r="AJ24" s="107">
        <v>13</v>
      </c>
      <c r="AK24" s="90" t="e">
        <f t="shared" si="19"/>
        <v>#N/A</v>
      </c>
      <c r="AL24" s="90" t="str">
        <f t="shared" si="20"/>
        <v/>
      </c>
      <c r="AM24" s="90" t="str">
        <f t="shared" si="21"/>
        <v/>
      </c>
      <c r="AN24" s="90" t="str">
        <f t="shared" si="22"/>
        <v/>
      </c>
      <c r="AO24" s="90" t="str">
        <f t="shared" si="23"/>
        <v/>
      </c>
      <c r="AP24" s="90"/>
      <c r="AQ24" s="107">
        <v>13</v>
      </c>
      <c r="AR24" s="66" t="str">
        <f t="shared" si="25"/>
        <v/>
      </c>
      <c r="AS24" s="68" t="b">
        <f t="shared" si="26"/>
        <v>0</v>
      </c>
    </row>
    <row r="25" spans="1:45" s="2" customFormat="1" ht="24" customHeight="1" x14ac:dyDescent="0.25">
      <c r="A25" s="8"/>
      <c r="B25" s="9">
        <v>15</v>
      </c>
      <c r="C25" s="317"/>
      <c r="D25" s="318"/>
      <c r="E25" s="16" t="str">
        <f t="shared" si="1"/>
        <v/>
      </c>
      <c r="F25" s="16" t="str">
        <f t="shared" si="2"/>
        <v/>
      </c>
      <c r="G25" s="18" t="str">
        <f t="shared" si="3"/>
        <v/>
      </c>
      <c r="H25" s="18" t="str">
        <f t="shared" si="4"/>
        <v/>
      </c>
      <c r="I25" s="18" t="str">
        <f t="shared" si="5"/>
        <v/>
      </c>
      <c r="J25" s="323" t="str">
        <f t="shared" si="12"/>
        <v/>
      </c>
      <c r="K25" s="324"/>
      <c r="L25" s="200" t="str">
        <f t="shared" si="6"/>
        <v/>
      </c>
      <c r="M25" s="126"/>
      <c r="N25" s="129"/>
      <c r="O25" s="126"/>
      <c r="P25" s="130"/>
      <c r="Q25" s="6"/>
      <c r="R25" s="8"/>
      <c r="S25" s="67" t="str">
        <f t="shared" si="27"/>
        <v/>
      </c>
      <c r="T25" s="66" t="str">
        <f t="shared" si="7"/>
        <v/>
      </c>
      <c r="U25" s="66" t="str">
        <f t="shared" si="8"/>
        <v/>
      </c>
      <c r="V25" s="66" t="b">
        <f t="shared" si="13"/>
        <v>0</v>
      </c>
      <c r="W25" s="66" t="b">
        <f t="shared" ca="1" si="14"/>
        <v>0</v>
      </c>
      <c r="X25" s="66" t="b">
        <f t="shared" ca="1" si="15"/>
        <v>0</v>
      </c>
      <c r="Y25" s="175">
        <f t="shared" si="16"/>
        <v>0</v>
      </c>
      <c r="Z25" s="68"/>
      <c r="AA25" s="67" t="e">
        <f t="shared" si="9"/>
        <v>#N/A</v>
      </c>
      <c r="AB25" s="66" t="e">
        <f t="shared" si="10"/>
        <v>#N/A</v>
      </c>
      <c r="AC25" s="66" t="str">
        <f t="shared" si="11"/>
        <v>$S$41:$S$55</v>
      </c>
      <c r="AD25" s="66"/>
      <c r="AE25" s="67" t="e">
        <f t="shared" si="17"/>
        <v>#N/A</v>
      </c>
      <c r="AF25" s="66" t="e">
        <f t="shared" si="18"/>
        <v>#N/A</v>
      </c>
      <c r="AG25" s="66"/>
      <c r="AH25" s="67"/>
      <c r="AI25" s="68"/>
      <c r="AJ25" s="107">
        <v>14</v>
      </c>
      <c r="AK25" s="90" t="e">
        <f t="shared" si="19"/>
        <v>#N/A</v>
      </c>
      <c r="AL25" s="90" t="str">
        <f t="shared" si="20"/>
        <v/>
      </c>
      <c r="AM25" s="90" t="str">
        <f t="shared" si="21"/>
        <v/>
      </c>
      <c r="AN25" s="90" t="str">
        <f t="shared" si="22"/>
        <v/>
      </c>
      <c r="AO25" s="90" t="str">
        <f t="shared" si="23"/>
        <v/>
      </c>
      <c r="AP25" s="90"/>
      <c r="AQ25" s="107">
        <v>14</v>
      </c>
      <c r="AR25" s="66" t="str">
        <f t="shared" si="25"/>
        <v/>
      </c>
      <c r="AS25" s="68" t="b">
        <f t="shared" si="26"/>
        <v>0</v>
      </c>
    </row>
    <row r="26" spans="1:45" s="2" customFormat="1" ht="24" customHeight="1" thickBot="1" x14ac:dyDescent="0.3">
      <c r="A26" s="8"/>
      <c r="B26" s="10">
        <v>16</v>
      </c>
      <c r="C26" s="319"/>
      <c r="D26" s="320"/>
      <c r="E26" s="57" t="str">
        <f t="shared" si="1"/>
        <v/>
      </c>
      <c r="F26" s="57" t="str">
        <f t="shared" si="2"/>
        <v/>
      </c>
      <c r="G26" s="58" t="str">
        <f t="shared" si="3"/>
        <v/>
      </c>
      <c r="H26" s="58" t="str">
        <f t="shared" si="4"/>
        <v/>
      </c>
      <c r="I26" s="58" t="str">
        <f t="shared" si="5"/>
        <v/>
      </c>
      <c r="J26" s="325" t="str">
        <f t="shared" si="12"/>
        <v/>
      </c>
      <c r="K26" s="326"/>
      <c r="L26" s="201" t="str">
        <f t="shared" si="6"/>
        <v/>
      </c>
      <c r="M26" s="131"/>
      <c r="N26" s="132"/>
      <c r="O26" s="131"/>
      <c r="P26" s="133"/>
      <c r="Q26" s="6"/>
      <c r="R26" s="8"/>
      <c r="S26" s="67" t="str">
        <f t="shared" si="27"/>
        <v/>
      </c>
      <c r="T26" s="66" t="str">
        <f t="shared" si="7"/>
        <v/>
      </c>
      <c r="U26" s="66" t="str">
        <f t="shared" si="8"/>
        <v/>
      </c>
      <c r="V26" s="66" t="b">
        <f t="shared" si="13"/>
        <v>0</v>
      </c>
      <c r="W26" s="66" t="b">
        <f t="shared" ca="1" si="14"/>
        <v>0</v>
      </c>
      <c r="X26" s="66" t="b">
        <f t="shared" ca="1" si="15"/>
        <v>0</v>
      </c>
      <c r="Y26" s="175">
        <f t="shared" si="16"/>
        <v>0</v>
      </c>
      <c r="Z26" s="68"/>
      <c r="AA26" s="67" t="e">
        <f t="shared" si="9"/>
        <v>#N/A</v>
      </c>
      <c r="AB26" s="66" t="e">
        <f t="shared" si="10"/>
        <v>#N/A</v>
      </c>
      <c r="AC26" s="66" t="str">
        <f t="shared" si="11"/>
        <v>$S$41:$S$55</v>
      </c>
      <c r="AD26" s="66"/>
      <c r="AE26" s="67" t="e">
        <f t="shared" si="17"/>
        <v>#N/A</v>
      </c>
      <c r="AF26" s="66" t="e">
        <f t="shared" si="18"/>
        <v>#N/A</v>
      </c>
      <c r="AG26" s="66"/>
      <c r="AH26" s="67"/>
      <c r="AI26" s="68"/>
      <c r="AJ26" s="107">
        <v>15</v>
      </c>
      <c r="AK26" s="90" t="e">
        <f t="shared" si="19"/>
        <v>#N/A</v>
      </c>
      <c r="AL26" s="90" t="str">
        <f t="shared" si="20"/>
        <v/>
      </c>
      <c r="AM26" s="90" t="str">
        <f t="shared" si="21"/>
        <v/>
      </c>
      <c r="AN26" s="90" t="str">
        <f t="shared" si="22"/>
        <v/>
      </c>
      <c r="AO26" s="90" t="str">
        <f t="shared" si="23"/>
        <v/>
      </c>
      <c r="AP26" s="90"/>
      <c r="AQ26" s="107">
        <v>15</v>
      </c>
      <c r="AR26" s="66" t="str">
        <f t="shared" si="25"/>
        <v/>
      </c>
      <c r="AS26" s="68" t="b">
        <f t="shared" si="26"/>
        <v>0</v>
      </c>
    </row>
    <row r="27" spans="1:45" s="2" customFormat="1" ht="24" customHeight="1" x14ac:dyDescent="0.25">
      <c r="A27" s="8"/>
      <c r="B27" s="11" t="s">
        <v>491</v>
      </c>
      <c r="C27" s="321" t="s">
        <v>768</v>
      </c>
      <c r="D27" s="322"/>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8" t="str">
        <f>IFERROR(VLOOKUP(C27,StarplayerList,9,FALSE),"")</f>
        <v/>
      </c>
      <c r="K27" s="279"/>
      <c r="L27" s="202" t="str">
        <f>IFERROR(1000*VLOOKUP(C27,StarplayerList,3,FALSE),"")</f>
        <v/>
      </c>
      <c r="M27" s="292" t="str">
        <f>IFERROR(VLOOKUP(C27,StarplayerList,10,FALSE),"")</f>
        <v/>
      </c>
      <c r="N27" s="293"/>
      <c r="O27" s="296" t="str">
        <f>IFERROR(VLOOKUP(C27,StarplayerList,12,FALSE),"")</f>
        <v/>
      </c>
      <c r="P27" s="297"/>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9"/>
        <v>#N/A</v>
      </c>
      <c r="AL27" s="90" t="str">
        <f t="shared" si="20"/>
        <v/>
      </c>
      <c r="AM27" s="90" t="str">
        <f t="shared" si="21"/>
        <v/>
      </c>
      <c r="AN27" s="90" t="str">
        <f t="shared" si="22"/>
        <v/>
      </c>
      <c r="AO27" s="90" t="str">
        <f t="shared" si="23"/>
        <v/>
      </c>
      <c r="AP27" s="90"/>
      <c r="AQ27" s="107">
        <v>16</v>
      </c>
      <c r="AR27" s="66" t="str">
        <f t="shared" si="25"/>
        <v/>
      </c>
      <c r="AS27" s="68" t="b">
        <f t="shared" si="26"/>
        <v>0</v>
      </c>
    </row>
    <row r="28" spans="1:45" s="2" customFormat="1" ht="24" customHeight="1" thickBot="1" x14ac:dyDescent="0.3">
      <c r="A28" s="8"/>
      <c r="B28" s="10" t="s">
        <v>492</v>
      </c>
      <c r="C28" s="330" t="s">
        <v>768</v>
      </c>
      <c r="D28" s="331"/>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0" t="str">
        <f>IFERROR(VLOOKUP(C28,StarplayerList,9,FALSE),"")</f>
        <v/>
      </c>
      <c r="K28" s="281"/>
      <c r="L28" s="203" t="str">
        <f>IFERROR(1000*VLOOKUP(C28,StarplayerList,3,FALSE),"")</f>
        <v/>
      </c>
      <c r="M28" s="294" t="str">
        <f>IFERROR(VLOOKUP(C28,StarplayerList,10,FALSE),"")</f>
        <v/>
      </c>
      <c r="N28" s="295"/>
      <c r="O28" s="298" t="str">
        <f>IFERROR(VLOOKUP(C28,StarplayerList,11,FALSE),"")</f>
        <v/>
      </c>
      <c r="P28" s="299"/>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5"/>
        <v/>
      </c>
      <c r="AS28" s="68" t="b">
        <f t="shared" si="26"/>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5"/>
        <v/>
      </c>
      <c r="AS29" s="68" t="b">
        <f t="shared" ref="AS29:AS36" si="28">IF(IF(AND(AR28&lt;&gt;"",AR28&lt;&gt;"Select Team to see available Star Players"),COUNTIF($C$27:$C$28,AR28),0)&gt;1,TRUE,FALSE)</f>
        <v>0</v>
      </c>
    </row>
    <row r="30" spans="1:45" ht="14.45" customHeight="1" thickBot="1" x14ac:dyDescent="0.3">
      <c r="B30" s="344" t="s">
        <v>776</v>
      </c>
      <c r="C30" s="345"/>
      <c r="D30" s="346"/>
      <c r="E30" s="351">
        <f>Y33-E43</f>
        <v>0</v>
      </c>
      <c r="F30" s="352"/>
      <c r="G30" s="353"/>
      <c r="H30" s="54"/>
      <c r="I30" s="54"/>
      <c r="J30" s="288" t="s">
        <v>528</v>
      </c>
      <c r="K30" s="289"/>
      <c r="L30" s="6"/>
      <c r="M30" s="332" t="s">
        <v>767</v>
      </c>
      <c r="N30" s="333"/>
      <c r="O30" s="333"/>
      <c r="P30" s="334"/>
      <c r="Q30" s="6"/>
      <c r="R30" s="6"/>
      <c r="S30" s="161" t="s">
        <v>740</v>
      </c>
      <c r="T30" s="162"/>
      <c r="U30" s="162"/>
      <c r="V30" s="162"/>
      <c r="W30" s="162"/>
      <c r="X30" s="162"/>
      <c r="Y30" s="162"/>
      <c r="Z30" s="162"/>
      <c r="AA30" s="162"/>
      <c r="AB30" s="162"/>
      <c r="AC30" s="162"/>
      <c r="AD30" s="162"/>
      <c r="AN30" s="6"/>
      <c r="AO30" s="6"/>
      <c r="AP30" s="6"/>
      <c r="AQ30" s="107">
        <v>19</v>
      </c>
      <c r="AR30" s="66" t="str">
        <f t="shared" si="25"/>
        <v/>
      </c>
      <c r="AS30" s="68" t="b">
        <f t="shared" si="28"/>
        <v>0</v>
      </c>
    </row>
    <row r="31" spans="1:45" ht="15" customHeight="1" x14ac:dyDescent="0.25">
      <c r="B31" s="55">
        <v>0</v>
      </c>
      <c r="C31" s="195" t="s">
        <v>10</v>
      </c>
      <c r="D31" s="196">
        <f>1000*IFERROR(VLOOKUP($D$2,Teams!B2:F31,5,FALSE),0)</f>
        <v>0</v>
      </c>
      <c r="E31" s="255">
        <f>B31*D31</f>
        <v>0</v>
      </c>
      <c r="F31" s="255"/>
      <c r="G31" s="256"/>
      <c r="H31" s="54"/>
      <c r="I31" s="54"/>
      <c r="J31" s="274" t="str">
        <f>IFERROR(VLOOKUP(AI11,Special_Rules,2,TRUE),"")</f>
        <v/>
      </c>
      <c r="K31" s="275"/>
      <c r="L31" s="6"/>
      <c r="M31" s="335" t="str">
        <f>IFERROR(VLOOKUP(C27,StarplayerList,11,FALSE),"") &amp; " " &amp; CHAR(10) &amp;
IFERROR(VLOOKUP(C28,StarplayerList,10,FALSE),"")</f>
        <v xml:space="preserve"> 
</v>
      </c>
      <c r="N31" s="336"/>
      <c r="O31" s="336"/>
      <c r="P31" s="337"/>
      <c r="Q31" s="6"/>
      <c r="R31" s="6"/>
      <c r="S31" s="137" t="s">
        <v>739</v>
      </c>
      <c r="T31" s="136"/>
      <c r="U31" s="172" t="s">
        <v>488</v>
      </c>
      <c r="V31" s="160" t="str">
        <f>D3</f>
        <v>0</v>
      </c>
      <c r="W31" s="172" t="s">
        <v>746</v>
      </c>
      <c r="X31" s="285" t="str">
        <f>J2</f>
        <v>Spartan (no effect)</v>
      </c>
      <c r="Y31" s="285"/>
      <c r="Z31" s="285"/>
      <c r="AA31" s="286"/>
      <c r="AB31" s="286"/>
      <c r="AC31" s="286"/>
      <c r="AD31" s="287"/>
      <c r="AN31" s="6"/>
      <c r="AO31" s="6"/>
      <c r="AP31" s="6"/>
      <c r="AQ31" s="107">
        <v>20</v>
      </c>
      <c r="AR31" s="66" t="str">
        <f t="shared" si="25"/>
        <v/>
      </c>
      <c r="AS31" s="68" t="b">
        <f t="shared" si="28"/>
        <v>0</v>
      </c>
    </row>
    <row r="32" spans="1:45" ht="14.45" customHeight="1" x14ac:dyDescent="0.25">
      <c r="B32" s="55">
        <v>0</v>
      </c>
      <c r="C32" s="195" t="s">
        <v>11</v>
      </c>
      <c r="D32" s="196">
        <v>10000</v>
      </c>
      <c r="E32" s="255">
        <f>B32*D32</f>
        <v>0</v>
      </c>
      <c r="F32" s="255"/>
      <c r="G32" s="256"/>
      <c r="H32" s="54"/>
      <c r="I32" s="54"/>
      <c r="J32" s="274"/>
      <c r="K32" s="275"/>
      <c r="L32" s="113"/>
      <c r="M32" s="338"/>
      <c r="N32" s="339"/>
      <c r="O32" s="339"/>
      <c r="P32" s="340"/>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5"/>
        <v/>
      </c>
      <c r="AS32" s="68" t="b">
        <f t="shared" si="28"/>
        <v>0</v>
      </c>
    </row>
    <row r="33" spans="1:45" ht="15" customHeight="1" x14ac:dyDescent="0.25">
      <c r="B33" s="55">
        <v>0</v>
      </c>
      <c r="C33" s="195" t="s">
        <v>12</v>
      </c>
      <c r="D33" s="196">
        <v>10000</v>
      </c>
      <c r="E33" s="255">
        <f>B33*D33</f>
        <v>0</v>
      </c>
      <c r="F33" s="255"/>
      <c r="G33" s="256"/>
      <c r="H33" s="54"/>
      <c r="I33" s="54"/>
      <c r="J33" s="274"/>
      <c r="K33" s="275"/>
      <c r="L33" s="113"/>
      <c r="M33" s="338"/>
      <c r="N33" s="339"/>
      <c r="O33" s="339"/>
      <c r="P33" s="340"/>
      <c r="Q33" s="6"/>
      <c r="R33" s="6"/>
      <c r="S33" s="73" t="s">
        <v>738</v>
      </c>
      <c r="T33" s="76"/>
      <c r="U33" s="167" t="s">
        <v>281</v>
      </c>
      <c r="V33" s="168">
        <f>IFERROR(VLOOKUP(V31,Blessings!$A$2:$E$7,3,FALSE) + 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5"/>
        <v/>
      </c>
      <c r="AS33" s="68" t="b">
        <f t="shared" si="28"/>
        <v>0</v>
      </c>
    </row>
    <row r="34" spans="1:45" ht="15" customHeight="1" x14ac:dyDescent="0.25">
      <c r="B34" s="56">
        <v>0</v>
      </c>
      <c r="C34" s="197" t="s">
        <v>9</v>
      </c>
      <c r="D34" s="196">
        <v>10000</v>
      </c>
      <c r="E34" s="301">
        <f>B34*D34</f>
        <v>0</v>
      </c>
      <c r="F34" s="301"/>
      <c r="G34" s="302"/>
      <c r="H34" s="54"/>
      <c r="I34" s="54"/>
      <c r="J34" s="274" t="str">
        <f>IFERROR(IFERROR(VLOOKUP(LEFT($AI$11,3),SpecialRules,3,FALSE),"") &amp; IFERROR(VLOOKUP(MID($AI$11,4,3),SpecialRules,3,FALSE),""),"")</f>
        <v/>
      </c>
      <c r="K34" s="275"/>
      <c r="L34" s="113"/>
      <c r="M34" s="338"/>
      <c r="N34" s="339"/>
      <c r="O34" s="339"/>
      <c r="P34" s="340"/>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5"/>
        <v/>
      </c>
      <c r="AS34" s="68" t="b">
        <f t="shared" si="28"/>
        <v>0</v>
      </c>
    </row>
    <row r="35" spans="1:45" ht="15" customHeight="1" x14ac:dyDescent="0.25">
      <c r="B35" s="55">
        <v>0</v>
      </c>
      <c r="C35" s="195" t="s">
        <v>974</v>
      </c>
      <c r="D35" s="196">
        <v>30000</v>
      </c>
      <c r="E35" s="255">
        <f t="shared" ref="E35" si="29">B35*D35</f>
        <v>0</v>
      </c>
      <c r="F35" s="255"/>
      <c r="G35" s="256"/>
      <c r="H35" s="24"/>
      <c r="I35" s="24"/>
      <c r="J35" s="274"/>
      <c r="K35" s="275"/>
      <c r="L35" s="113"/>
      <c r="M35" s="338"/>
      <c r="N35" s="339"/>
      <c r="O35" s="339"/>
      <c r="P35" s="340"/>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5"/>
        <v/>
      </c>
      <c r="AS35" s="68" t="b">
        <f t="shared" si="28"/>
        <v>0</v>
      </c>
    </row>
    <row r="36" spans="1:45" x14ac:dyDescent="0.25">
      <c r="B36" s="55">
        <v>0</v>
      </c>
      <c r="C36" s="195" t="s">
        <v>973</v>
      </c>
      <c r="D36" s="196">
        <v>30000</v>
      </c>
      <c r="E36" s="255">
        <f t="shared" ref="E36" si="30">B36*D36</f>
        <v>0</v>
      </c>
      <c r="F36" s="255"/>
      <c r="G36" s="256"/>
      <c r="H36" s="24"/>
      <c r="I36" s="24"/>
      <c r="J36" s="274"/>
      <c r="K36" s="275"/>
      <c r="L36" s="113"/>
      <c r="M36" s="338"/>
      <c r="N36" s="339"/>
      <c r="O36" s="339"/>
      <c r="P36" s="340"/>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8"/>
        <v>0</v>
      </c>
    </row>
    <row r="37" spans="1:45" x14ac:dyDescent="0.25">
      <c r="B37" s="55">
        <v>0</v>
      </c>
      <c r="C37" s="195" t="s">
        <v>685</v>
      </c>
      <c r="D37" s="196">
        <v>50000</v>
      </c>
      <c r="E37" s="255">
        <f>B37*D37</f>
        <v>0</v>
      </c>
      <c r="F37" s="255"/>
      <c r="G37" s="256"/>
      <c r="H37" s="24"/>
      <c r="I37" s="24"/>
      <c r="J37" s="274"/>
      <c r="K37" s="275"/>
      <c r="L37" s="113"/>
      <c r="M37" s="338"/>
      <c r="N37" s="339"/>
      <c r="O37" s="339"/>
      <c r="P37" s="340"/>
      <c r="Q37" s="6"/>
      <c r="R37" s="12"/>
      <c r="S37" s="6"/>
      <c r="T37" s="6"/>
      <c r="U37" s="6"/>
      <c r="V37" s="6"/>
      <c r="W37" s="6"/>
      <c r="X37" s="6"/>
      <c r="Y37" s="6"/>
      <c r="Z37" s="6"/>
      <c r="AA37" s="6"/>
      <c r="AB37" s="6"/>
      <c r="AC37" s="6"/>
      <c r="AD37" s="6"/>
      <c r="AN37" s="6"/>
      <c r="AO37" s="6"/>
      <c r="AP37" s="6"/>
      <c r="AQ37" s="107">
        <v>26</v>
      </c>
      <c r="AR37" s="66" t="str">
        <f t="shared" si="25"/>
        <v/>
      </c>
      <c r="AS37" s="68" t="b">
        <f t="shared" ref="AS37:AS41" si="31">IF(IF(AND(AR36&lt;&gt;"",AR36&lt;&gt;"Select Team to see available Star Players"),COUNTIF($C$27:$C$28,AR36),0)&gt;1,TRUE,FALSE)</f>
        <v>0</v>
      </c>
    </row>
    <row r="38" spans="1:45" x14ac:dyDescent="0.25">
      <c r="B38" s="55">
        <v>0</v>
      </c>
      <c r="C38" s="195" t="s">
        <v>686</v>
      </c>
      <c r="D38" s="196">
        <f>AI17</f>
        <v>100000</v>
      </c>
      <c r="E38" s="255">
        <f>B38*D38</f>
        <v>0</v>
      </c>
      <c r="F38" s="255"/>
      <c r="G38" s="256"/>
      <c r="H38" s="24"/>
      <c r="I38" s="24"/>
      <c r="J38" s="274"/>
      <c r="K38" s="275"/>
      <c r="L38" s="113"/>
      <c r="M38" s="338"/>
      <c r="N38" s="339"/>
      <c r="O38" s="339"/>
      <c r="P38" s="340"/>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5"/>
        <v/>
      </c>
      <c r="AS38" s="68" t="b">
        <f t="shared" si="31"/>
        <v>0</v>
      </c>
    </row>
    <row r="39" spans="1:45" x14ac:dyDescent="0.25">
      <c r="B39" s="55">
        <v>0</v>
      </c>
      <c r="C39" s="195" t="s">
        <v>972</v>
      </c>
      <c r="D39" s="196">
        <v>100000</v>
      </c>
      <c r="E39" s="255">
        <f t="shared" ref="E39" si="32">B39*D39</f>
        <v>0</v>
      </c>
      <c r="F39" s="255"/>
      <c r="G39" s="256"/>
      <c r="H39" s="24"/>
      <c r="J39" s="274"/>
      <c r="K39" s="275"/>
      <c r="L39" s="6"/>
      <c r="M39" s="338"/>
      <c r="N39" s="339"/>
      <c r="O39" s="339"/>
      <c r="P39" s="340"/>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5"/>
        <v/>
      </c>
      <c r="AS39" s="68" t="b">
        <f t="shared" si="31"/>
        <v>0</v>
      </c>
    </row>
    <row r="40" spans="1:45" ht="15.75" thickBot="1" x14ac:dyDescent="0.3">
      <c r="B40" s="147">
        <v>0</v>
      </c>
      <c r="C40" s="198" t="str">
        <f>AI15</f>
        <v/>
      </c>
      <c r="D40" s="199">
        <v>100000</v>
      </c>
      <c r="E40" s="349">
        <f>B40*D40</f>
        <v>0</v>
      </c>
      <c r="F40" s="349"/>
      <c r="G40" s="350"/>
      <c r="H40" s="24"/>
      <c r="I40" s="24"/>
      <c r="J40" s="276"/>
      <c r="K40" s="277"/>
      <c r="L40" s="6"/>
      <c r="M40" s="341"/>
      <c r="N40" s="342"/>
      <c r="O40" s="342"/>
      <c r="P40" s="343"/>
      <c r="Q40" s="6"/>
      <c r="R40" s="6"/>
      <c r="S40" s="73" t="str">
        <f>CONCATENATE(ADDRESS(ROW()+1,COLUMN()),":",ADDRESS(ROW()+15,COLUMN()))</f>
        <v>$S$41:$S$55</v>
      </c>
      <c r="T40" s="75" t="str">
        <f>CONCATENATE(ADDRESS(ROW()+1,COLUMN()),":",ADDRESS(ROW()+40,COLUMN()))</f>
        <v>$T$41:$T$80</v>
      </c>
      <c r="U40" s="75" t="str">
        <f t="shared" ref="U40:AO40" si="33">CONCATENATE(ADDRESS(ROW()+1,COLUMN()),":",ADDRESS(ROW()+40,COLUMN()))</f>
        <v>$U$41:$U$80</v>
      </c>
      <c r="V40" s="75" t="str">
        <f t="shared" si="33"/>
        <v>$V$41:$V$80</v>
      </c>
      <c r="W40" s="75" t="str">
        <f t="shared" si="33"/>
        <v>$W$41:$W$80</v>
      </c>
      <c r="X40" s="75" t="str">
        <f t="shared" si="33"/>
        <v>$X$41:$X$80</v>
      </c>
      <c r="Y40" s="75" t="str">
        <f t="shared" si="33"/>
        <v>$Y$41:$Y$80</v>
      </c>
      <c r="Z40" s="75" t="str">
        <f t="shared" si="33"/>
        <v>$Z$41:$Z$80</v>
      </c>
      <c r="AA40" s="75" t="str">
        <f t="shared" si="33"/>
        <v>$AA$41:$AA$80</v>
      </c>
      <c r="AB40" s="75" t="str">
        <f t="shared" si="33"/>
        <v>$AB$41:$AB$80</v>
      </c>
      <c r="AC40" s="75" t="str">
        <f t="shared" si="33"/>
        <v>$AC$41:$AC$80</v>
      </c>
      <c r="AD40" s="75" t="str">
        <f t="shared" si="33"/>
        <v>$AD$41:$AD$80</v>
      </c>
      <c r="AE40" s="75" t="str">
        <f t="shared" si="33"/>
        <v>$AE$41:$AE$80</v>
      </c>
      <c r="AF40" s="75" t="str">
        <f t="shared" si="33"/>
        <v>$AF$41:$AF$80</v>
      </c>
      <c r="AG40" s="75" t="str">
        <f t="shared" si="33"/>
        <v>$AG$41:$AG$80</v>
      </c>
      <c r="AH40" s="75" t="str">
        <f t="shared" si="33"/>
        <v>$AH$41:$AH$80</v>
      </c>
      <c r="AI40" s="75" t="str">
        <f t="shared" si="33"/>
        <v>$AI$41:$AI$80</v>
      </c>
      <c r="AJ40" s="75" t="str">
        <f t="shared" si="33"/>
        <v>$AJ$41:$AJ$80</v>
      </c>
      <c r="AK40" s="75" t="str">
        <f t="shared" si="33"/>
        <v>$AK$41:$AK$80</v>
      </c>
      <c r="AL40" s="75" t="str">
        <f t="shared" si="33"/>
        <v>$AL$41:$AL$80</v>
      </c>
      <c r="AM40" s="75" t="str">
        <f t="shared" si="33"/>
        <v>$AM$41:$AM$80</v>
      </c>
      <c r="AN40" s="75" t="str">
        <f t="shared" si="33"/>
        <v>$AN$41:$AN$80</v>
      </c>
      <c r="AO40" s="76" t="str">
        <f t="shared" si="33"/>
        <v>$AO$41:$AO$80</v>
      </c>
      <c r="AP40" s="6"/>
      <c r="AQ40" s="107">
        <v>29</v>
      </c>
      <c r="AR40" s="66" t="str">
        <f t="shared" si="25"/>
        <v/>
      </c>
      <c r="AS40" s="68" t="b">
        <f t="shared" si="31"/>
        <v>0</v>
      </c>
    </row>
    <row r="41" spans="1:45" x14ac:dyDescent="0.25">
      <c r="B41" s="55">
        <v>0</v>
      </c>
      <c r="C41" s="195" t="s">
        <v>684</v>
      </c>
      <c r="D41" s="196" t="s">
        <v>683</v>
      </c>
      <c r="E41" s="255">
        <f>IF(B41&lt;1,B41*50000,(B41-1)*100000+50000)</f>
        <v>0</v>
      </c>
      <c r="F41" s="255"/>
      <c r="G41" s="256"/>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5"/>
        <v/>
      </c>
      <c r="AS41" s="71" t="b">
        <f t="shared" si="31"/>
        <v>0</v>
      </c>
    </row>
    <row r="42" spans="1:45" ht="15.75" thickBot="1" x14ac:dyDescent="0.3">
      <c r="A42"/>
      <c r="B42" s="55">
        <v>0</v>
      </c>
      <c r="C42" s="195" t="s">
        <v>687</v>
      </c>
      <c r="D42" s="196">
        <f>AI16</f>
        <v>300000</v>
      </c>
      <c r="E42" s="255">
        <f>B42*D42</f>
        <v>0</v>
      </c>
      <c r="F42" s="255"/>
      <c r="G42" s="256"/>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4" t="s">
        <v>677</v>
      </c>
      <c r="C43" s="345"/>
      <c r="D43" s="346"/>
      <c r="E43" s="347">
        <f>SUM(L11:L28)+SUM(E31:G42)</f>
        <v>0</v>
      </c>
      <c r="F43" s="347"/>
      <c r="G43" s="348"/>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8" t="str">
        <f>IF(D7&lt;&gt;"",D7 &amp; IF(D8&lt;&gt;""," (" &amp; D8 &amp; ")",""),"") &amp; IF(D6&lt;&gt;""," - " &amp; D6,"") &amp; IF(AND(D2&lt;&gt;"",D2&lt;&gt;"Select Team")," [" &amp; D2 &amp; "]","")</f>
        <v/>
      </c>
      <c r="C45" s="328"/>
      <c r="D45" s="328"/>
      <c r="E45" s="328"/>
      <c r="F45" s="328"/>
      <c r="G45" s="328"/>
      <c r="H45" s="328"/>
      <c r="I45" s="328"/>
      <c r="J45" s="328"/>
      <c r="K45" s="328"/>
      <c r="L45" s="328"/>
      <c r="M45" s="328"/>
      <c r="N45" s="328"/>
      <c r="O45" s="328"/>
      <c r="P45" s="328"/>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29" t="str">
        <f>IF(AND(SquadName&lt;&gt;"",SquadName&lt;&gt;"Enter Squad Name"),"Squad "&amp; SquadName,"")</f>
        <v/>
      </c>
      <c r="C46" s="329"/>
      <c r="D46" s="329"/>
      <c r="E46" s="329"/>
      <c r="F46" s="329"/>
      <c r="G46" s="329"/>
      <c r="H46" s="329"/>
      <c r="I46" s="329"/>
      <c r="J46" s="329"/>
      <c r="K46" s="329"/>
      <c r="L46" s="329"/>
      <c r="M46" s="329"/>
      <c r="N46" s="329"/>
      <c r="O46" s="329"/>
      <c r="P46" s="329"/>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45:P45"/>
    <mergeCell ref="B46:P46"/>
    <mergeCell ref="C28:D28"/>
    <mergeCell ref="M30:P30"/>
    <mergeCell ref="M31:P40"/>
    <mergeCell ref="B43:D43"/>
    <mergeCell ref="E43:G43"/>
    <mergeCell ref="E40:G40"/>
    <mergeCell ref="B30:D30"/>
    <mergeCell ref="E41:G41"/>
    <mergeCell ref="E32:G32"/>
    <mergeCell ref="E33:G33"/>
    <mergeCell ref="E37:G37"/>
    <mergeCell ref="E38:G38"/>
    <mergeCell ref="E42:G42"/>
    <mergeCell ref="E30:G30"/>
    <mergeCell ref="C10:D10"/>
    <mergeCell ref="C20:D20"/>
    <mergeCell ref="C21:D21"/>
    <mergeCell ref="C22:D22"/>
    <mergeCell ref="C23:D23"/>
    <mergeCell ref="C16:D16"/>
    <mergeCell ref="C17:D17"/>
    <mergeCell ref="C18:D18"/>
    <mergeCell ref="C19:D19"/>
    <mergeCell ref="C11:D11"/>
    <mergeCell ref="C12:D12"/>
    <mergeCell ref="C13:D13"/>
    <mergeCell ref="C14:D14"/>
    <mergeCell ref="C15:D15"/>
    <mergeCell ref="C24:D24"/>
    <mergeCell ref="C25:D25"/>
    <mergeCell ref="C26:D26"/>
    <mergeCell ref="C27:D27"/>
    <mergeCell ref="J25:K25"/>
    <mergeCell ref="J26:K26"/>
    <mergeCell ref="E34:G34"/>
    <mergeCell ref="F2:I2"/>
    <mergeCell ref="F3:I3"/>
    <mergeCell ref="J11:K11"/>
    <mergeCell ref="J10:K10"/>
    <mergeCell ref="J12:K12"/>
    <mergeCell ref="J13:K13"/>
    <mergeCell ref="J14:K14"/>
    <mergeCell ref="J15:K15"/>
    <mergeCell ref="J16:K16"/>
    <mergeCell ref="J17:K17"/>
    <mergeCell ref="J18:K18"/>
    <mergeCell ref="J19:K19"/>
    <mergeCell ref="J2:K2"/>
    <mergeCell ref="F4:I4"/>
    <mergeCell ref="F6:I6"/>
    <mergeCell ref="E1:K1"/>
    <mergeCell ref="E31:G31"/>
    <mergeCell ref="X31:AD31"/>
    <mergeCell ref="M6:O6"/>
    <mergeCell ref="J30:K30"/>
    <mergeCell ref="J31:K33"/>
    <mergeCell ref="M7:P7"/>
    <mergeCell ref="L8:L9"/>
    <mergeCell ref="M9:P9"/>
    <mergeCell ref="M8:P8"/>
    <mergeCell ref="M27:N27"/>
    <mergeCell ref="M28:N28"/>
    <mergeCell ref="O27:P27"/>
    <mergeCell ref="O28:P28"/>
    <mergeCell ref="W10:X10"/>
    <mergeCell ref="J34:K40"/>
    <mergeCell ref="J27:K27"/>
    <mergeCell ref="J28:K28"/>
    <mergeCell ref="J20:K20"/>
    <mergeCell ref="J21:K21"/>
    <mergeCell ref="J22:K22"/>
    <mergeCell ref="J23:K23"/>
    <mergeCell ref="J24:K24"/>
    <mergeCell ref="E39:G39"/>
    <mergeCell ref="E36:G36"/>
    <mergeCell ref="E35:G35"/>
    <mergeCell ref="B6:C6"/>
    <mergeCell ref="M2:O2"/>
    <mergeCell ref="M3:O3"/>
    <mergeCell ref="M4:O4"/>
    <mergeCell ref="M5:O5"/>
    <mergeCell ref="F7:I7"/>
    <mergeCell ref="F8:I8"/>
    <mergeCell ref="F5:I5"/>
    <mergeCell ref="B2:C2"/>
    <mergeCell ref="B7:C7"/>
    <mergeCell ref="B8:C8"/>
    <mergeCell ref="B3:C3"/>
    <mergeCell ref="B4:C4"/>
  </mergeCells>
  <conditionalFormatting sqref="B34">
    <cfRule type="expression" dxfId="98" priority="202">
      <formula>IF(AND($D$7&lt;&gt;"",$B$34=#REF!),TRUE,FALSE)</formula>
    </cfRule>
  </conditionalFormatting>
  <conditionalFormatting sqref="B41:B43 E41:E43">
    <cfRule type="expression" dxfId="97" priority="203">
      <formula>IF(AND($E$43&gt;0,$E$43=#REF!*1000),TRUE,FALSE)</formula>
    </cfRule>
  </conditionalFormatting>
  <conditionalFormatting sqref="B30:G30">
    <cfRule type="expression" dxfId="96" priority="17">
      <formula>IF($E$30&lt;0, TRUE, FALSE)</formula>
    </cfRule>
  </conditionalFormatting>
  <conditionalFormatting sqref="B40:G40">
    <cfRule type="expression" dxfId="95" priority="51">
      <formula>IF($C$40="",TRUE,FALSE)</formula>
    </cfRule>
  </conditionalFormatting>
  <conditionalFormatting sqref="B41:G41">
    <cfRule type="expression" dxfId="94" priority="194">
      <formula>IF($AI$14="No", TRUE, FALSE)</formula>
    </cfRule>
  </conditionalFormatting>
  <conditionalFormatting sqref="B28:P28">
    <cfRule type="expression" dxfId="93" priority="1">
      <formula>$D$3&lt;5</formula>
    </cfRule>
  </conditionalFormatting>
  <conditionalFormatting sqref="B45:P45">
    <cfRule type="expression" dxfId="92" priority="10">
      <formula>$B$45=""</formula>
    </cfRule>
  </conditionalFormatting>
  <conditionalFormatting sqref="B46:P46">
    <cfRule type="expression" dxfId="91" priority="11">
      <formula>$B$46=""</formula>
    </cfRule>
  </conditionalFormatting>
  <conditionalFormatting sqref="C11:C28">
    <cfRule type="expression" dxfId="90" priority="190">
      <formula>OR($M$3&lt;&gt;"", $M$6&lt;&gt;"", $M$7&lt;&gt;"")</formula>
    </cfRule>
  </conditionalFormatting>
  <conditionalFormatting sqref="C27:C28">
    <cfRule type="expression" dxfId="89" priority="185">
      <formula>$AS$11</formula>
    </cfRule>
  </conditionalFormatting>
  <conditionalFormatting sqref="C11:D26">
    <cfRule type="expression" dxfId="88" priority="5">
      <formula>AND(C11&lt;&gt;"", ISERROR(MATCH(C11, $AL$11:$AL$27, 0)))</formula>
    </cfRule>
  </conditionalFormatting>
  <conditionalFormatting sqref="C27:D28">
    <cfRule type="expression" dxfId="87" priority="4">
      <formula>AND(C27&lt;&gt;"", ISERROR(MATCH(C27, $AR$11:$AR$41, 0)))</formula>
    </cfRule>
  </conditionalFormatting>
  <conditionalFormatting sqref="E11:E26">
    <cfRule type="expression" dxfId="86" priority="44">
      <formula>IF(E11&lt;&gt;"",IF(OR($E11&lt;1,E11&gt;9),TRUE,FALSE),FALSE)</formula>
    </cfRule>
  </conditionalFormatting>
  <conditionalFormatting sqref="F11:F26">
    <cfRule type="expression" dxfId="85" priority="43">
      <formula>IF($F11&lt;&gt;"",IF(OR($F11&lt;1,$F11&gt;8),TRUE,FALSE),FALSE)</formula>
    </cfRule>
  </conditionalFormatting>
  <conditionalFormatting sqref="G11:G26">
    <cfRule type="expression" dxfId="84" priority="42">
      <formula>IF($G11&lt;&gt;"",IF(OR($G11&lt;1,$G11&gt;6),TRUE,FALSE),FALSE)</formula>
    </cfRule>
  </conditionalFormatting>
  <conditionalFormatting sqref="H11:H26">
    <cfRule type="expression" dxfId="83" priority="41">
      <formula>IF(AND($H11&lt;&gt;"-",$H11&lt;&gt;""),IF(OR($H11&lt;1,$H11&gt;6),TRUE,FALSE),FALSE)</formula>
    </cfRule>
  </conditionalFormatting>
  <conditionalFormatting sqref="I11:I26">
    <cfRule type="expression" dxfId="82" priority="40">
      <formula>IF($I11&lt;&gt;"",IF(OR($I11&lt;3,$I11&gt;11),TRUE,FALSE),FALSE)</formula>
    </cfRule>
  </conditionalFormatting>
  <conditionalFormatting sqref="J2">
    <cfRule type="expression" dxfId="81" priority="8">
      <formula>$M$9&lt;&gt;""</formula>
    </cfRule>
  </conditionalFormatting>
  <conditionalFormatting sqref="K4:K8">
    <cfRule type="expression" dxfId="80" priority="6">
      <formula>$K4&gt;$J4</formula>
    </cfRule>
  </conditionalFormatting>
  <conditionalFormatting sqref="M11:P26">
    <cfRule type="expression" dxfId="79" priority="166">
      <formula>OR($M$2&lt;&gt;"",$M$8&lt;&gt;"")</formula>
    </cfRule>
  </conditionalFormatting>
  <conditionalFormatting sqref="M30:P43">
    <cfRule type="expression" dxfId="78" priority="13">
      <formula>AND($M$27="",$M$28="")</formula>
    </cfRule>
  </conditionalFormatting>
  <conditionalFormatting sqref="N11:N26">
    <cfRule type="expression" dxfId="77" priority="3">
      <formula>W11</formula>
    </cfRule>
  </conditionalFormatting>
  <conditionalFormatting sqref="P2 M2:M6 P6 M7:P9">
    <cfRule type="notContainsBlanks" dxfId="76" priority="199">
      <formula>LEN(TRIM(M2))&gt;0</formula>
    </cfRule>
  </conditionalFormatting>
  <conditionalFormatting sqref="P11:P26">
    <cfRule type="expression" dxfId="75" priority="2">
      <formula>X11</formula>
    </cfRule>
  </conditionalFormatting>
  <dataValidations count="11">
    <dataValidation type="list" allowBlank="1" showInputMessage="1" showErrorMessage="1" sqref="P11:P26" xr:uid="{00000000-0002-0000-0300-000000000000}">
      <formula1>INDIRECT(AF11)</formula1>
    </dataValidation>
    <dataValidation type="list" allowBlank="1" showInputMessage="1" showErrorMessage="1" sqref="N11:N26" xr:uid="{00000000-0002-0000-0300-000001000000}">
      <formula1>INDIRECT(AE11)</formula1>
    </dataValidation>
    <dataValidation type="list" allowBlank="1" showInputMessage="1" showErrorMessage="1" sqref="B33" xr:uid="{00000000-0002-0000-0300-000002000000}">
      <formula1>$AJ$11:$AJ$23</formula1>
    </dataValidation>
    <dataValidation type="list" allowBlank="1" showInputMessage="1" showErrorMessage="1" sqref="B41 B38" xr:uid="{00000000-0002-0000-0300-000003000000}">
      <formula1>$AJ$11:$AJ$14</formula1>
    </dataValidation>
    <dataValidation type="list" allowBlank="1" showInputMessage="1" showErrorMessage="1" sqref="B32 B34" xr:uid="{00000000-0002-0000-0300-000004000000}">
      <formula1>$AJ$11:$AJ$17</formula1>
    </dataValidation>
    <dataValidation type="list" allowBlank="1" showInputMessage="1" showErrorMessage="1" sqref="B31" xr:uid="{00000000-0002-0000-0300-000005000000}">
      <formula1>$AJ$11:$AJ$19</formula1>
    </dataValidation>
    <dataValidation type="list" allowBlank="1" showInputMessage="1" showErrorMessage="1" sqref="B42 B39:B40 B35:B36" xr:uid="{00000000-0002-0000-0300-000006000000}">
      <formula1>$AJ$11:$AJ$12</formula1>
    </dataValidation>
    <dataValidation type="list" allowBlank="1" showInputMessage="1" showErrorMessage="1" sqref="B37" xr:uid="{00000000-0002-0000-0300-000007000000}">
      <formula1>$AJ$11:$AJ$13</formula1>
    </dataValidation>
    <dataValidation type="list" allowBlank="1" showInputMessage="1" showErrorMessage="1" sqref="C11:C26" xr:uid="{00000000-0002-0000-0300-000008000000}">
      <formula1>$AL$11:$AL$27</formula1>
    </dataValidation>
    <dataValidation type="list" allowBlank="1" showInputMessage="1" showErrorMessage="1" sqref="O11:O26 M11:M26" xr:uid="{00000000-0002-0000-0300-00000A000000}">
      <formula1>$S$32:$S$34</formula1>
    </dataValidation>
    <dataValidation type="list" allowBlank="1" showInputMessage="1" showErrorMessage="1" sqref="C27:D28" xr:uid="{E523F971-90B4-47FA-9D23-684D081680E7}">
      <formula1>$AR$11:$AR$33</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300-00000C000000}">
          <x14:formula1>
            <xm:f>Teams!$B$1:$B$31</xm:f>
          </x14:formula1>
          <xm:sqref>D2</xm:sqref>
        </x14:dataValidation>
        <x14:dataValidation type="list" showInputMessage="1" showErrorMessage="1" xr:uid="{A71CE2FF-80A2-4DF8-9A34-E313AA20C791}">
          <x14:formula1>
            <xm:f>Blessings!$B$11:$B$15</xm:f>
          </x14:formula1>
          <xm:sqref>J2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C3A1-5F82-4444-A80E-F8281024A9DB}">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4"/>
      <c r="F1" s="284"/>
      <c r="G1" s="284"/>
      <c r="H1" s="284"/>
      <c r="I1" s="284"/>
      <c r="J1" s="284"/>
      <c r="K1" s="284"/>
      <c r="R1" s="12"/>
      <c r="U1" s="12"/>
      <c r="AA1" s="12"/>
      <c r="AD1" s="12"/>
    </row>
    <row r="2" spans="1:45" s="6" customFormat="1" ht="15" customHeight="1" thickBot="1" x14ac:dyDescent="0.3">
      <c r="B2" s="257" t="s">
        <v>493</v>
      </c>
      <c r="C2" s="258"/>
      <c r="D2" s="135" t="s">
        <v>706</v>
      </c>
      <c r="F2" s="303" t="s">
        <v>966</v>
      </c>
      <c r="G2" s="304"/>
      <c r="H2" s="304"/>
      <c r="I2" s="305"/>
      <c r="J2" s="315" t="s">
        <v>958</v>
      </c>
      <c r="K2" s="316"/>
      <c r="M2" s="248" t="str">
        <f>AC32</f>
        <v/>
      </c>
      <c r="N2" s="248"/>
      <c r="O2" s="248"/>
      <c r="P2" s="187"/>
    </row>
    <row r="3" spans="1:45" s="6" customFormat="1" ht="15" customHeight="1" x14ac:dyDescent="0.25">
      <c r="B3" s="268" t="s">
        <v>488</v>
      </c>
      <c r="C3" s="269"/>
      <c r="D3" s="134" t="str">
        <f>IFERROR(VLOOKUP($D$2,Teams!$B$2:'Teams'!$I$31,8,FALSE),"0")</f>
        <v>0</v>
      </c>
      <c r="F3" s="306"/>
      <c r="G3" s="307"/>
      <c r="H3" s="307"/>
      <c r="I3" s="308"/>
      <c r="J3" s="193" t="s">
        <v>964</v>
      </c>
      <c r="K3" s="194" t="s">
        <v>961</v>
      </c>
      <c r="M3" s="248" t="str">
        <f>IF($AP$11,"Too many players of a player type! ","") &amp; IF(COUNTBLANK(E11:E28)&lt;2,"Maximum 16 players! ","") &amp; IF(AND(B38&gt;=1,SUMPRODUCT(--(ISNUMBER(SEARCH("Secret Weapon",J11:K28))))&gt;0),"No Bribe and Secret Weapon! ","")</f>
        <v/>
      </c>
      <c r="N3" s="248"/>
      <c r="O3" s="248"/>
      <c r="P3" s="187"/>
    </row>
    <row r="4" spans="1:45" s="6" customFormat="1" ht="15" customHeight="1" thickBot="1" x14ac:dyDescent="0.3">
      <c r="B4" s="272" t="s">
        <v>971</v>
      </c>
      <c r="C4" s="273"/>
      <c r="D4" s="188">
        <f>IFERROR(VLOOKUP($J$2,Blessings!B10:C15,2,FALSE),"")</f>
        <v>0</v>
      </c>
      <c r="F4" s="265" t="s">
        <v>682</v>
      </c>
      <c r="G4" s="266"/>
      <c r="H4" s="266"/>
      <c r="I4" s="267"/>
      <c r="J4" s="177">
        <f>Y33</f>
        <v>0</v>
      </c>
      <c r="K4" s="178">
        <f>E43</f>
        <v>0</v>
      </c>
      <c r="M4" s="248" t="str">
        <f>IFERROR(IF(Z33&gt;Y33,"You exceeded your budget!",""),"")</f>
        <v/>
      </c>
      <c r="N4" s="248"/>
      <c r="O4" s="248"/>
      <c r="P4" s="187"/>
    </row>
    <row r="5" spans="1:45" s="6" customFormat="1" ht="15" customHeight="1" thickBot="1" x14ac:dyDescent="0.3">
      <c r="F5" s="265" t="s">
        <v>962</v>
      </c>
      <c r="G5" s="266"/>
      <c r="H5" s="266"/>
      <c r="I5" s="267"/>
      <c r="J5" s="179">
        <f>Y34</f>
        <v>0</v>
      </c>
      <c r="K5" s="180">
        <f>Z34</f>
        <v>0</v>
      </c>
      <c r="M5" s="248" t="str">
        <f>IFERROR(IF(Z34&gt;Y34,"You exceeded your available skill points!",""),"")</f>
        <v/>
      </c>
      <c r="N5" s="248"/>
      <c r="O5" s="248"/>
      <c r="P5" s="187"/>
    </row>
    <row r="6" spans="1:45" s="6" customFormat="1" ht="15" customHeight="1" x14ac:dyDescent="0.25">
      <c r="B6" s="257" t="s">
        <v>0</v>
      </c>
      <c r="C6" s="258"/>
      <c r="D6" s="184"/>
      <c r="F6" s="259" t="s">
        <v>704</v>
      </c>
      <c r="G6" s="260"/>
      <c r="H6" s="260"/>
      <c r="I6" s="261"/>
      <c r="J6" s="179">
        <f t="shared" ref="J6:K8" si="0">V33</f>
        <v>0</v>
      </c>
      <c r="K6" s="180">
        <f t="shared" si="0"/>
        <v>0</v>
      </c>
      <c r="L6"/>
      <c r="M6" s="248" t="str">
        <f ca="1">IFERROR(IF(AN11&gt;AI13,"Too many Big Guys! ",""),"") &amp; IF(COUNTIF(V11:V28, TRUE) &gt; 0, "Match players to selected team! ", "") &amp; IF(COUNTIF(W11:X226, TRUE) &gt; 0, "Match skill with player and upgrade!", "")</f>
        <v/>
      </c>
      <c r="N6" s="248"/>
      <c r="O6" s="248"/>
      <c r="P6" s="187"/>
    </row>
    <row r="7" spans="1:45" s="6" customFormat="1" ht="15" customHeight="1" x14ac:dyDescent="0.25">
      <c r="B7" s="268" t="s">
        <v>1</v>
      </c>
      <c r="C7" s="269"/>
      <c r="D7" s="185"/>
      <c r="F7" s="259" t="s">
        <v>963</v>
      </c>
      <c r="G7" s="260"/>
      <c r="H7" s="260"/>
      <c r="I7" s="261"/>
      <c r="J7" s="181">
        <f t="shared" si="0"/>
        <v>0</v>
      </c>
      <c r="K7" s="180">
        <f t="shared" si="0"/>
        <v>0</v>
      </c>
      <c r="M7" s="248" t="str">
        <f>IFERROR(IF($AS$11,"A Star Player can only be selected once! ",""),"") &amp; IF(_xlfn.XOR(ISNUMBER(SEARCH(":", C27)), ISNUMBER(SEARCH(":", C28))), "This Star Player comes as a pair!", "")</f>
        <v/>
      </c>
      <c r="N7" s="248"/>
      <c r="O7" s="248"/>
      <c r="P7" s="248"/>
    </row>
    <row r="8" spans="1:45" s="6" customFormat="1" ht="15" customHeight="1" thickBot="1" x14ac:dyDescent="0.3">
      <c r="B8" s="270" t="s">
        <v>775</v>
      </c>
      <c r="C8" s="271"/>
      <c r="D8" s="186"/>
      <c r="F8" s="262" t="s">
        <v>968</v>
      </c>
      <c r="G8" s="263"/>
      <c r="H8" s="263"/>
      <c r="I8" s="264"/>
      <c r="J8" s="182">
        <f t="shared" si="0"/>
        <v>0</v>
      </c>
      <c r="K8" s="183">
        <f t="shared" si="0"/>
        <v>0</v>
      </c>
      <c r="L8" s="290"/>
      <c r="M8" s="248" t="str">
        <f>IF(OR(W33&gt;V33,W34&gt;V34,W35&gt;V35),"Too many (stacked) skills! ","") &amp; IF(AND(B38&gt;=1,COUNTIF(M11:P26,"Sneaky Git")&gt;=1),"No Bribe and Sneaky Git! ","")</f>
        <v/>
      </c>
      <c r="N8" s="248"/>
      <c r="O8" s="248"/>
      <c r="P8" s="248"/>
    </row>
    <row r="9" spans="1:45" s="6" customFormat="1" ht="15" customHeight="1" thickBot="1" x14ac:dyDescent="0.3">
      <c r="B9" s="13"/>
      <c r="L9" s="291"/>
      <c r="M9" s="248" t="str">
        <f>IF(OR(AND(OR(AND(C27&lt;&gt;"",C27&lt;&gt;"Select Star Player"),AND(C28&lt;&gt;"",C28&lt;&gt;"Select Star Player")),ISNUMBER(FIND("Ares",J2))=FALSE),AND(AND(AND(C27&lt;&gt;"",C27&lt;&gt;"Select Star Player"),AND(C28&lt;&gt;"",C28&lt;&gt;"Select Star Player")),ISNUMBER(FIND("Ares",J2))=FALSE)),"Select the Ares blessing to field a Star Player!","")</f>
        <v/>
      </c>
      <c r="N9" s="248"/>
      <c r="O9" s="248"/>
      <c r="P9" s="248"/>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1" t="s">
        <v>688</v>
      </c>
      <c r="D10" s="327"/>
      <c r="E10" s="190" t="s">
        <v>4</v>
      </c>
      <c r="F10" s="190" t="s">
        <v>5</v>
      </c>
      <c r="G10" s="190" t="s">
        <v>6</v>
      </c>
      <c r="H10" s="190" t="s">
        <v>7</v>
      </c>
      <c r="I10" s="190" t="s">
        <v>8</v>
      </c>
      <c r="J10" s="311" t="s">
        <v>291</v>
      </c>
      <c r="K10" s="312"/>
      <c r="L10" s="191" t="s">
        <v>715</v>
      </c>
      <c r="M10" s="189" t="s">
        <v>735</v>
      </c>
      <c r="N10" s="190" t="s">
        <v>15</v>
      </c>
      <c r="O10" s="189" t="s">
        <v>736</v>
      </c>
      <c r="P10" s="192" t="s">
        <v>15</v>
      </c>
      <c r="Q10" s="6"/>
      <c r="R10" s="7"/>
      <c r="S10" s="82" t="s">
        <v>281</v>
      </c>
      <c r="T10" s="83" t="s">
        <v>282</v>
      </c>
      <c r="U10" s="84" t="s">
        <v>490</v>
      </c>
      <c r="V10" s="83" t="s">
        <v>978</v>
      </c>
      <c r="W10" s="300" t="s">
        <v>979</v>
      </c>
      <c r="X10" s="300"/>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1"/>
      <c r="D11" s="322"/>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09" t="str">
        <f>IF(N11&lt;&gt;"",CONCATENATE(IF(U11="None","",U11&amp;", "),N11,IF(P11="","",", "),P11),U11)</f>
        <v/>
      </c>
      <c r="K11" s="310"/>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7"/>
      <c r="D12" s="318"/>
      <c r="E12" s="16" t="str">
        <f t="shared" si="1"/>
        <v/>
      </c>
      <c r="F12" s="16" t="str">
        <f t="shared" si="2"/>
        <v/>
      </c>
      <c r="G12" s="18" t="str">
        <f t="shared" si="3"/>
        <v/>
      </c>
      <c r="H12" s="18" t="str">
        <f t="shared" si="4"/>
        <v/>
      </c>
      <c r="I12" s="18" t="str">
        <f t="shared" si="5"/>
        <v/>
      </c>
      <c r="J12" s="313" t="str">
        <f t="shared" ref="J12:J26" si="11">IF(N12&lt;&gt;"",CONCATENATE(IF(U12="None","",U12&amp;", "),N12,IF(P12="","",", "),P12),U12)</f>
        <v/>
      </c>
      <c r="K12" s="314"/>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7"/>
      <c r="D13" s="318"/>
      <c r="E13" s="16" t="str">
        <f t="shared" si="1"/>
        <v/>
      </c>
      <c r="F13" s="16" t="str">
        <f t="shared" si="2"/>
        <v/>
      </c>
      <c r="G13" s="18" t="str">
        <f t="shared" si="3"/>
        <v/>
      </c>
      <c r="H13" s="18" t="str">
        <f t="shared" si="4"/>
        <v/>
      </c>
      <c r="I13" s="18" t="str">
        <f t="shared" si="5"/>
        <v/>
      </c>
      <c r="J13" s="282" t="str">
        <f t="shared" si="11"/>
        <v/>
      </c>
      <c r="K13" s="283"/>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7"/>
      <c r="D14" s="318"/>
      <c r="E14" s="16" t="str">
        <f t="shared" si="1"/>
        <v/>
      </c>
      <c r="F14" s="16" t="str">
        <f t="shared" si="2"/>
        <v/>
      </c>
      <c r="G14" s="18" t="str">
        <f t="shared" si="3"/>
        <v/>
      </c>
      <c r="H14" s="18" t="str">
        <f t="shared" si="4"/>
        <v/>
      </c>
      <c r="I14" s="18" t="str">
        <f t="shared" si="5"/>
        <v/>
      </c>
      <c r="J14" s="282" t="str">
        <f t="shared" si="11"/>
        <v/>
      </c>
      <c r="K14" s="283"/>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7"/>
      <c r="D15" s="318"/>
      <c r="E15" s="16" t="str">
        <f t="shared" si="1"/>
        <v/>
      </c>
      <c r="F15" s="16" t="str">
        <f t="shared" si="2"/>
        <v/>
      </c>
      <c r="G15" s="18" t="str">
        <f t="shared" si="3"/>
        <v/>
      </c>
      <c r="H15" s="18" t="str">
        <f t="shared" si="4"/>
        <v/>
      </c>
      <c r="I15" s="18" t="str">
        <f t="shared" si="5"/>
        <v/>
      </c>
      <c r="J15" s="282" t="str">
        <f t="shared" si="11"/>
        <v/>
      </c>
      <c r="K15" s="283"/>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7"/>
      <c r="D16" s="318"/>
      <c r="E16" s="16" t="str">
        <f t="shared" si="1"/>
        <v/>
      </c>
      <c r="F16" s="16" t="str">
        <f t="shared" si="2"/>
        <v/>
      </c>
      <c r="G16" s="18" t="str">
        <f t="shared" si="3"/>
        <v/>
      </c>
      <c r="H16" s="18" t="str">
        <f t="shared" si="4"/>
        <v/>
      </c>
      <c r="I16" s="18" t="str">
        <f t="shared" si="5"/>
        <v/>
      </c>
      <c r="J16" s="282" t="str">
        <f t="shared" si="11"/>
        <v/>
      </c>
      <c r="K16" s="283"/>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7"/>
      <c r="D17" s="318"/>
      <c r="E17" s="16" t="str">
        <f t="shared" si="1"/>
        <v/>
      </c>
      <c r="F17" s="16" t="str">
        <f t="shared" si="2"/>
        <v/>
      </c>
      <c r="G17" s="18" t="str">
        <f t="shared" si="3"/>
        <v/>
      </c>
      <c r="H17" s="18" t="str">
        <f t="shared" si="4"/>
        <v/>
      </c>
      <c r="I17" s="18" t="str">
        <f t="shared" si="5"/>
        <v/>
      </c>
      <c r="J17" s="282" t="str">
        <f t="shared" si="11"/>
        <v/>
      </c>
      <c r="K17" s="283"/>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7"/>
      <c r="D18" s="318"/>
      <c r="E18" s="16" t="str">
        <f t="shared" si="1"/>
        <v/>
      </c>
      <c r="F18" s="16" t="str">
        <f t="shared" si="2"/>
        <v/>
      </c>
      <c r="G18" s="18" t="str">
        <f t="shared" si="3"/>
        <v/>
      </c>
      <c r="H18" s="18" t="str">
        <f t="shared" si="4"/>
        <v/>
      </c>
      <c r="I18" s="18" t="str">
        <f t="shared" si="5"/>
        <v/>
      </c>
      <c r="J18" s="282" t="str">
        <f t="shared" si="11"/>
        <v/>
      </c>
      <c r="K18" s="283"/>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7"/>
      <c r="D19" s="318"/>
      <c r="E19" s="16" t="str">
        <f t="shared" si="1"/>
        <v/>
      </c>
      <c r="F19" s="16" t="str">
        <f t="shared" si="2"/>
        <v/>
      </c>
      <c r="G19" s="18" t="str">
        <f t="shared" si="3"/>
        <v/>
      </c>
      <c r="H19" s="18" t="str">
        <f t="shared" si="4"/>
        <v/>
      </c>
      <c r="I19" s="18" t="str">
        <f t="shared" si="5"/>
        <v/>
      </c>
      <c r="J19" s="282" t="str">
        <f t="shared" si="11"/>
        <v/>
      </c>
      <c r="K19" s="283"/>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7"/>
      <c r="D20" s="318"/>
      <c r="E20" s="16" t="str">
        <f t="shared" si="1"/>
        <v/>
      </c>
      <c r="F20" s="16" t="str">
        <f t="shared" si="2"/>
        <v/>
      </c>
      <c r="G20" s="18" t="str">
        <f t="shared" si="3"/>
        <v/>
      </c>
      <c r="H20" s="18" t="str">
        <f t="shared" si="4"/>
        <v/>
      </c>
      <c r="I20" s="18" t="str">
        <f t="shared" si="5"/>
        <v/>
      </c>
      <c r="J20" s="282" t="str">
        <f t="shared" si="11"/>
        <v/>
      </c>
      <c r="K20" s="283"/>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7"/>
      <c r="D21" s="318"/>
      <c r="E21" s="16" t="str">
        <f t="shared" si="1"/>
        <v/>
      </c>
      <c r="F21" s="16" t="str">
        <f t="shared" si="2"/>
        <v/>
      </c>
      <c r="G21" s="18" t="str">
        <f t="shared" si="3"/>
        <v/>
      </c>
      <c r="H21" s="18" t="str">
        <f t="shared" si="4"/>
        <v/>
      </c>
      <c r="I21" s="18" t="str">
        <f t="shared" si="5"/>
        <v/>
      </c>
      <c r="J21" s="282" t="str">
        <f t="shared" si="11"/>
        <v/>
      </c>
      <c r="K21" s="283"/>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7"/>
      <c r="D22" s="318"/>
      <c r="E22" s="16" t="str">
        <f t="shared" si="1"/>
        <v/>
      </c>
      <c r="F22" s="16" t="str">
        <f t="shared" si="2"/>
        <v/>
      </c>
      <c r="G22" s="18" t="str">
        <f t="shared" si="3"/>
        <v/>
      </c>
      <c r="H22" s="18" t="str">
        <f t="shared" si="4"/>
        <v/>
      </c>
      <c r="I22" s="18" t="str">
        <f t="shared" si="5"/>
        <v/>
      </c>
      <c r="J22" s="282" t="str">
        <f t="shared" si="11"/>
        <v/>
      </c>
      <c r="K22" s="283"/>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7"/>
      <c r="D23" s="318"/>
      <c r="E23" s="16" t="str">
        <f t="shared" si="1"/>
        <v/>
      </c>
      <c r="F23" s="16" t="str">
        <f t="shared" si="2"/>
        <v/>
      </c>
      <c r="G23" s="18" t="str">
        <f t="shared" si="3"/>
        <v/>
      </c>
      <c r="H23" s="18" t="str">
        <f t="shared" si="4"/>
        <v/>
      </c>
      <c r="I23" s="18" t="str">
        <f t="shared" si="5"/>
        <v/>
      </c>
      <c r="J23" s="282" t="str">
        <f t="shared" si="11"/>
        <v/>
      </c>
      <c r="K23" s="283"/>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7"/>
      <c r="D24" s="318"/>
      <c r="E24" s="16" t="str">
        <f t="shared" si="1"/>
        <v/>
      </c>
      <c r="F24" s="16" t="str">
        <f t="shared" si="2"/>
        <v/>
      </c>
      <c r="G24" s="18" t="str">
        <f t="shared" si="3"/>
        <v/>
      </c>
      <c r="H24" s="18" t="str">
        <f t="shared" si="4"/>
        <v/>
      </c>
      <c r="I24" s="18" t="str">
        <f t="shared" si="5"/>
        <v/>
      </c>
      <c r="J24" s="282" t="str">
        <f t="shared" si="11"/>
        <v/>
      </c>
      <c r="K24" s="283"/>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7"/>
      <c r="D25" s="318"/>
      <c r="E25" s="16" t="str">
        <f t="shared" si="1"/>
        <v/>
      </c>
      <c r="F25" s="16" t="str">
        <f t="shared" si="2"/>
        <v/>
      </c>
      <c r="G25" s="18" t="str">
        <f t="shared" si="3"/>
        <v/>
      </c>
      <c r="H25" s="18" t="str">
        <f t="shared" si="4"/>
        <v/>
      </c>
      <c r="I25" s="18" t="str">
        <f t="shared" si="5"/>
        <v/>
      </c>
      <c r="J25" s="323" t="str">
        <f t="shared" si="11"/>
        <v/>
      </c>
      <c r="K25" s="324"/>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19"/>
      <c r="D26" s="320"/>
      <c r="E26" s="57" t="str">
        <f t="shared" si="1"/>
        <v/>
      </c>
      <c r="F26" s="57" t="str">
        <f t="shared" si="2"/>
        <v/>
      </c>
      <c r="G26" s="58" t="str">
        <f t="shared" si="3"/>
        <v/>
      </c>
      <c r="H26" s="58" t="str">
        <f t="shared" si="4"/>
        <v/>
      </c>
      <c r="I26" s="58" t="str">
        <f t="shared" si="5"/>
        <v/>
      </c>
      <c r="J26" s="325" t="str">
        <f t="shared" si="11"/>
        <v/>
      </c>
      <c r="K26" s="326"/>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1" t="s">
        <v>768</v>
      </c>
      <c r="D27" s="322"/>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8" t="str">
        <f>IFERROR(VLOOKUP(C27,StarplayerList,9,FALSE),"")</f>
        <v/>
      </c>
      <c r="K27" s="279"/>
      <c r="L27" s="202" t="str">
        <f>IFERROR(1000*VLOOKUP(C27,StarplayerList,3,FALSE),"")</f>
        <v/>
      </c>
      <c r="M27" s="292" t="str">
        <f>IFERROR(VLOOKUP(C27,StarplayerList,10,FALSE),"")</f>
        <v/>
      </c>
      <c r="N27" s="293"/>
      <c r="O27" s="296" t="str">
        <f>IFERROR(VLOOKUP(C27,StarplayerList,12,FALSE),"")</f>
        <v/>
      </c>
      <c r="P27" s="297"/>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0" t="s">
        <v>768</v>
      </c>
      <c r="D28" s="331"/>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0" t="str">
        <f>IFERROR(VLOOKUP(C28,StarplayerList,9,FALSE),"")</f>
        <v/>
      </c>
      <c r="K28" s="281"/>
      <c r="L28" s="203" t="str">
        <f>IFERROR(1000*VLOOKUP(C28,StarplayerList,3,FALSE),"")</f>
        <v/>
      </c>
      <c r="M28" s="294" t="str">
        <f>IFERROR(VLOOKUP(C28,StarplayerList,10,FALSE),"")</f>
        <v/>
      </c>
      <c r="N28" s="295"/>
      <c r="O28" s="298" t="str">
        <f>IFERROR(VLOOKUP(C28,StarplayerList,11,FALSE),"")</f>
        <v/>
      </c>
      <c r="P28" s="299"/>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4" t="s">
        <v>776</v>
      </c>
      <c r="C30" s="345"/>
      <c r="D30" s="346"/>
      <c r="E30" s="351">
        <f>Y33-E43</f>
        <v>0</v>
      </c>
      <c r="F30" s="352"/>
      <c r="G30" s="353"/>
      <c r="H30" s="54"/>
      <c r="I30" s="54"/>
      <c r="J30" s="288" t="s">
        <v>528</v>
      </c>
      <c r="K30" s="289"/>
      <c r="L30" s="6"/>
      <c r="M30" s="332" t="s">
        <v>767</v>
      </c>
      <c r="N30" s="333"/>
      <c r="O30" s="333"/>
      <c r="P30" s="334"/>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5">
        <f>B31*D31</f>
        <v>0</v>
      </c>
      <c r="F31" s="255"/>
      <c r="G31" s="256"/>
      <c r="H31" s="54"/>
      <c r="I31" s="54"/>
      <c r="J31" s="274" t="str">
        <f>IFERROR(VLOOKUP(AI11,Special_Rules,2,TRUE),"")</f>
        <v/>
      </c>
      <c r="K31" s="275"/>
      <c r="L31" s="6"/>
      <c r="M31" s="335" t="str">
        <f>IFERROR(VLOOKUP(C27,StarplayerList,11,FALSE),"") &amp; " " &amp; CHAR(10) &amp;
IFERROR(VLOOKUP(C28,StarplayerList,10,FALSE),"")</f>
        <v xml:space="preserve"> 
</v>
      </c>
      <c r="N31" s="336"/>
      <c r="O31" s="336"/>
      <c r="P31" s="337"/>
      <c r="Q31" s="6"/>
      <c r="R31" s="6"/>
      <c r="S31" s="137" t="s">
        <v>739</v>
      </c>
      <c r="T31" s="136"/>
      <c r="U31" s="172" t="s">
        <v>488</v>
      </c>
      <c r="V31" s="160" t="str">
        <f>D3</f>
        <v>0</v>
      </c>
      <c r="W31" s="172" t="s">
        <v>746</v>
      </c>
      <c r="X31" s="285" t="str">
        <f>J2</f>
        <v>Spartan (no effect)</v>
      </c>
      <c r="Y31" s="285"/>
      <c r="Z31" s="285"/>
      <c r="AA31" s="286"/>
      <c r="AB31" s="286"/>
      <c r="AC31" s="286"/>
      <c r="AD31" s="287"/>
      <c r="AN31" s="6"/>
      <c r="AO31" s="6"/>
      <c r="AP31" s="6"/>
      <c r="AQ31" s="107">
        <v>20</v>
      </c>
      <c r="AR31" s="66" t="str">
        <f t="shared" si="24"/>
        <v/>
      </c>
      <c r="AS31" s="68" t="b">
        <f t="shared" si="25"/>
        <v>0</v>
      </c>
    </row>
    <row r="32" spans="1:45" ht="14.45" customHeight="1" x14ac:dyDescent="0.25">
      <c r="B32" s="55">
        <v>0</v>
      </c>
      <c r="C32" s="195" t="s">
        <v>11</v>
      </c>
      <c r="D32" s="196">
        <v>10000</v>
      </c>
      <c r="E32" s="255">
        <f>B32*D32</f>
        <v>0</v>
      </c>
      <c r="F32" s="255"/>
      <c r="G32" s="256"/>
      <c r="H32" s="54"/>
      <c r="I32" s="54"/>
      <c r="J32" s="274"/>
      <c r="K32" s="275"/>
      <c r="L32" s="113"/>
      <c r="M32" s="338"/>
      <c r="N32" s="339"/>
      <c r="O32" s="339"/>
      <c r="P32" s="340"/>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5">
        <f>B33*D33</f>
        <v>0</v>
      </c>
      <c r="F33" s="255"/>
      <c r="G33" s="256"/>
      <c r="H33" s="54"/>
      <c r="I33" s="54"/>
      <c r="J33" s="274"/>
      <c r="K33" s="275"/>
      <c r="L33" s="113"/>
      <c r="M33" s="338"/>
      <c r="N33" s="339"/>
      <c r="O33" s="339"/>
      <c r="P33" s="340"/>
      <c r="Q33" s="6"/>
      <c r="R33" s="6"/>
      <c r="S33" s="73" t="s">
        <v>738</v>
      </c>
      <c r="T33" s="76"/>
      <c r="U33" s="167" t="s">
        <v>281</v>
      </c>
      <c r="V33" s="168">
        <f>IFERROR(VLOOKUP(V31,Blessings!$A$2:$E$7,3,FALSE) + 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1">
        <f>B34*D34</f>
        <v>0</v>
      </c>
      <c r="F34" s="301"/>
      <c r="G34" s="302"/>
      <c r="H34" s="54"/>
      <c r="I34" s="54"/>
      <c r="J34" s="274" t="str">
        <f>IFERROR(IFERROR(VLOOKUP(LEFT($AI$11,3),SpecialRules,3,FALSE),"") &amp; IFERROR(VLOOKUP(MID($AI$11,4,3),SpecialRules,3,FALSE),""),"")</f>
        <v/>
      </c>
      <c r="K34" s="275"/>
      <c r="L34" s="113"/>
      <c r="M34" s="338"/>
      <c r="N34" s="339"/>
      <c r="O34" s="339"/>
      <c r="P34" s="340"/>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5">
        <f t="shared" ref="E35:E36" si="27">B35*D35</f>
        <v>0</v>
      </c>
      <c r="F35" s="255"/>
      <c r="G35" s="256"/>
      <c r="H35" s="24"/>
      <c r="I35" s="24"/>
      <c r="J35" s="274"/>
      <c r="K35" s="275"/>
      <c r="L35" s="113"/>
      <c r="M35" s="338"/>
      <c r="N35" s="339"/>
      <c r="O35" s="339"/>
      <c r="P35" s="340"/>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5">
        <f t="shared" si="27"/>
        <v>0</v>
      </c>
      <c r="F36" s="255"/>
      <c r="G36" s="256"/>
      <c r="H36" s="24"/>
      <c r="I36" s="24"/>
      <c r="J36" s="274"/>
      <c r="K36" s="275"/>
      <c r="L36" s="113"/>
      <c r="M36" s="338"/>
      <c r="N36" s="339"/>
      <c r="O36" s="339"/>
      <c r="P36" s="340"/>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5">
        <f>B37*D37</f>
        <v>0</v>
      </c>
      <c r="F37" s="255"/>
      <c r="G37" s="256"/>
      <c r="H37" s="24"/>
      <c r="I37" s="24"/>
      <c r="J37" s="274"/>
      <c r="K37" s="275"/>
      <c r="L37" s="113"/>
      <c r="M37" s="338"/>
      <c r="N37" s="339"/>
      <c r="O37" s="339"/>
      <c r="P37" s="340"/>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5">
        <f>B38*D38</f>
        <v>0</v>
      </c>
      <c r="F38" s="255"/>
      <c r="G38" s="256"/>
      <c r="H38" s="24"/>
      <c r="I38" s="24"/>
      <c r="J38" s="274"/>
      <c r="K38" s="275"/>
      <c r="L38" s="113"/>
      <c r="M38" s="338"/>
      <c r="N38" s="339"/>
      <c r="O38" s="339"/>
      <c r="P38" s="340"/>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5">
        <f t="shared" ref="E39" si="28">B39*D39</f>
        <v>0</v>
      </c>
      <c r="F39" s="255"/>
      <c r="G39" s="256"/>
      <c r="H39" s="24"/>
      <c r="J39" s="274"/>
      <c r="K39" s="275"/>
      <c r="L39" s="6"/>
      <c r="M39" s="338"/>
      <c r="N39" s="339"/>
      <c r="O39" s="339"/>
      <c r="P39" s="340"/>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49">
        <f>B40*D40</f>
        <v>0</v>
      </c>
      <c r="F40" s="349"/>
      <c r="G40" s="350"/>
      <c r="H40" s="24"/>
      <c r="I40" s="24"/>
      <c r="J40" s="276"/>
      <c r="K40" s="277"/>
      <c r="L40" s="6"/>
      <c r="M40" s="341"/>
      <c r="N40" s="342"/>
      <c r="O40" s="342"/>
      <c r="P40" s="343"/>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5">
        <f>IF(B41&lt;1,B41*50000,(B41-1)*100000+50000)</f>
        <v>0</v>
      </c>
      <c r="F41" s="255"/>
      <c r="G41" s="256"/>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5">
        <f>B42*D42</f>
        <v>0</v>
      </c>
      <c r="F42" s="255"/>
      <c r="G42" s="256"/>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4" t="s">
        <v>677</v>
      </c>
      <c r="C43" s="345"/>
      <c r="D43" s="346"/>
      <c r="E43" s="347">
        <f>SUM(L11:L28)+SUM(E31:G42)</f>
        <v>0</v>
      </c>
      <c r="F43" s="347"/>
      <c r="G43" s="348"/>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8" t="str">
        <f>IF(D7&lt;&gt;"",D7 &amp; IF(D8&lt;&gt;""," (" &amp; D8 &amp; ")",""),"") &amp; IF(D6&lt;&gt;""," - " &amp; D6,"") &amp; IF(AND(D2&lt;&gt;"",D2&lt;&gt;"Select Team")," [" &amp; D2 &amp; "]","")</f>
        <v/>
      </c>
      <c r="C45" s="328"/>
      <c r="D45" s="328"/>
      <c r="E45" s="328"/>
      <c r="F45" s="328"/>
      <c r="G45" s="328"/>
      <c r="H45" s="328"/>
      <c r="I45" s="328"/>
      <c r="J45" s="328"/>
      <c r="K45" s="328"/>
      <c r="L45" s="328"/>
      <c r="M45" s="328"/>
      <c r="N45" s="328"/>
      <c r="O45" s="328"/>
      <c r="P45" s="328"/>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29" t="str">
        <f>IF(AND(SquadName&lt;&gt;"",SquadName&lt;&gt;"Enter Squad Name"),"Squad "&amp; SquadName,"")</f>
        <v/>
      </c>
      <c r="C46" s="329"/>
      <c r="D46" s="329"/>
      <c r="E46" s="329"/>
      <c r="F46" s="329"/>
      <c r="G46" s="329"/>
      <c r="H46" s="329"/>
      <c r="I46" s="329"/>
      <c r="J46" s="329"/>
      <c r="K46" s="329"/>
      <c r="L46" s="329"/>
      <c r="M46" s="329"/>
      <c r="N46" s="329"/>
      <c r="O46" s="329"/>
      <c r="P46" s="329"/>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74" priority="23">
      <formula>IF(AND($D$7&lt;&gt;"",$B$34=#REF!),TRUE,FALSE)</formula>
    </cfRule>
  </conditionalFormatting>
  <conditionalFormatting sqref="B41:B43 E41:E43">
    <cfRule type="expression" dxfId="73" priority="24">
      <formula>IF(AND($E$43&gt;0,$E$43=#REF!*1000),TRUE,FALSE)</formula>
    </cfRule>
  </conditionalFormatting>
  <conditionalFormatting sqref="B30:G30">
    <cfRule type="expression" dxfId="72" priority="11">
      <formula>IF($E$30&lt;0, TRUE, FALSE)</formula>
    </cfRule>
  </conditionalFormatting>
  <conditionalFormatting sqref="B40:G40">
    <cfRule type="expression" dxfId="71" priority="17">
      <formula>IF($C$40="",TRUE,FALSE)</formula>
    </cfRule>
  </conditionalFormatting>
  <conditionalFormatting sqref="B41:G41">
    <cfRule type="expression" dxfId="70" priority="21">
      <formula>IF($AI$14="No", TRUE, FALSE)</formula>
    </cfRule>
  </conditionalFormatting>
  <conditionalFormatting sqref="B28:P28">
    <cfRule type="expression" dxfId="69" priority="1">
      <formula>$D$3&lt;5</formula>
    </cfRule>
  </conditionalFormatting>
  <conditionalFormatting sqref="B45:P45">
    <cfRule type="expression" dxfId="68" priority="8">
      <formula>$B$45=""</formula>
    </cfRule>
  </conditionalFormatting>
  <conditionalFormatting sqref="B46:P46">
    <cfRule type="expression" dxfId="67" priority="9">
      <formula>$B$46=""</formula>
    </cfRule>
  </conditionalFormatting>
  <conditionalFormatting sqref="C11:C28">
    <cfRule type="expression" dxfId="66" priority="20">
      <formula>OR($M$3&lt;&gt;"", $M$6&lt;&gt;"", $M$7&lt;&gt;"")</formula>
    </cfRule>
  </conditionalFormatting>
  <conditionalFormatting sqref="C27:C28">
    <cfRule type="expression" dxfId="65" priority="19">
      <formula>$AS$11</formula>
    </cfRule>
  </conditionalFormatting>
  <conditionalFormatting sqref="C11:D26">
    <cfRule type="expression" dxfId="64" priority="5">
      <formula>AND(C11&lt;&gt;"", ISERROR(MATCH(C11, $AL$11:$AL$27, 0)))</formula>
    </cfRule>
  </conditionalFormatting>
  <conditionalFormatting sqref="C27:D28">
    <cfRule type="expression" dxfId="63" priority="4">
      <formula>AND(C27&lt;&gt;"", ISERROR(MATCH(C27, $AR$11:$AR$41, 0)))</formula>
    </cfRule>
  </conditionalFormatting>
  <conditionalFormatting sqref="E11:E26">
    <cfRule type="expression" dxfId="62" priority="16">
      <formula>IF(E11&lt;&gt;"",IF(OR($E11&lt;1,E11&gt;9),TRUE,FALSE),FALSE)</formula>
    </cfRule>
  </conditionalFormatting>
  <conditionalFormatting sqref="F11:F26">
    <cfRule type="expression" dxfId="61" priority="15">
      <formula>IF($F11&lt;&gt;"",IF(OR($F11&lt;1,$F11&gt;8),TRUE,FALSE),FALSE)</formula>
    </cfRule>
  </conditionalFormatting>
  <conditionalFormatting sqref="G11:G26">
    <cfRule type="expression" dxfId="60" priority="14">
      <formula>IF($G11&lt;&gt;"",IF(OR($G11&lt;1,$G11&gt;6),TRUE,FALSE),FALSE)</formula>
    </cfRule>
  </conditionalFormatting>
  <conditionalFormatting sqref="H11:H26">
    <cfRule type="expression" dxfId="59" priority="13">
      <formula>IF(AND($H11&lt;&gt;"-",$H11&lt;&gt;""),IF(OR($H11&lt;1,$H11&gt;6),TRUE,FALSE),FALSE)</formula>
    </cfRule>
  </conditionalFormatting>
  <conditionalFormatting sqref="I11:I26">
    <cfRule type="expression" dxfId="58" priority="12">
      <formula>IF($I11&lt;&gt;"",IF(OR($I11&lt;3,$I11&gt;11),TRUE,FALSE),FALSE)</formula>
    </cfRule>
  </conditionalFormatting>
  <conditionalFormatting sqref="J2">
    <cfRule type="expression" dxfId="57" priority="7">
      <formula>$M$9&lt;&gt;""</formula>
    </cfRule>
  </conditionalFormatting>
  <conditionalFormatting sqref="K4:K8">
    <cfRule type="expression" dxfId="56" priority="6">
      <formula>$K4&gt;$J4</formula>
    </cfRule>
  </conditionalFormatting>
  <conditionalFormatting sqref="M11:P26">
    <cfRule type="expression" dxfId="55" priority="18">
      <formula>OR($M$2&lt;&gt;"",$M$8&lt;&gt;"")</formula>
    </cfRule>
  </conditionalFormatting>
  <conditionalFormatting sqref="M30:P43">
    <cfRule type="expression" dxfId="54" priority="10">
      <formula>AND($M$27="",$M$28="")</formula>
    </cfRule>
  </conditionalFormatting>
  <conditionalFormatting sqref="N11:N26">
    <cfRule type="expression" dxfId="53" priority="3">
      <formula>W11</formula>
    </cfRule>
  </conditionalFormatting>
  <conditionalFormatting sqref="P2 M2:M6 P6 M7:P9">
    <cfRule type="notContainsBlanks" dxfId="52" priority="22">
      <formula>LEN(TRIM(M2))&gt;0</formula>
    </cfRule>
  </conditionalFormatting>
  <conditionalFormatting sqref="P11:P26">
    <cfRule type="expression" dxfId="51" priority="2">
      <formula>X11</formula>
    </cfRule>
  </conditionalFormatting>
  <dataValidations count="11">
    <dataValidation type="list" allowBlank="1" showInputMessage="1" showErrorMessage="1" sqref="P11:P26" xr:uid="{0BDAAA13-0A07-4369-8C68-346AFF947E6C}">
      <formula1>INDIRECT(AF11)</formula1>
    </dataValidation>
    <dataValidation type="list" allowBlank="1" showInputMessage="1" showErrorMessage="1" sqref="N11:N26" xr:uid="{6F5CCECD-EA91-4C4F-9593-78475151C2E5}">
      <formula1>INDIRECT(AE11)</formula1>
    </dataValidation>
    <dataValidation type="list" allowBlank="1" showInputMessage="1" showErrorMessage="1" sqref="B33" xr:uid="{2F3308CF-AC34-4412-AF07-C623E811C4FC}">
      <formula1>$AJ$11:$AJ$23</formula1>
    </dataValidation>
    <dataValidation type="list" allowBlank="1" showInputMessage="1" showErrorMessage="1" sqref="B41 B38" xr:uid="{48620526-CD3B-43A4-A22A-DEFED1D8EFB7}">
      <formula1>$AJ$11:$AJ$14</formula1>
    </dataValidation>
    <dataValidation type="list" allowBlank="1" showInputMessage="1" showErrorMessage="1" sqref="B32 B34" xr:uid="{FB750B69-ECBE-47EF-8895-19A17C14D3F8}">
      <formula1>$AJ$11:$AJ$17</formula1>
    </dataValidation>
    <dataValidation type="list" allowBlank="1" showInputMessage="1" showErrorMessage="1" sqref="B31" xr:uid="{E4F71746-386C-4989-980E-56BE806EE2F9}">
      <formula1>$AJ$11:$AJ$19</formula1>
    </dataValidation>
    <dataValidation type="list" allowBlank="1" showInputMessage="1" showErrorMessage="1" sqref="B42 B39:B40 B35:B36" xr:uid="{D3D8086E-DF64-41E7-A1EB-5EAF1D1BBE3B}">
      <formula1>$AJ$11:$AJ$12</formula1>
    </dataValidation>
    <dataValidation type="list" allowBlank="1" showInputMessage="1" showErrorMessage="1" sqref="B37" xr:uid="{6F1881DE-9260-43EA-8DFF-2386F8A8C8A4}">
      <formula1>$AJ$11:$AJ$13</formula1>
    </dataValidation>
    <dataValidation type="list" allowBlank="1" showInputMessage="1" showErrorMessage="1" sqref="C11:C26" xr:uid="{0B588FE3-C94C-4E9C-B319-FCC1FF4B7628}">
      <formula1>$AL$11:$AL$27</formula1>
    </dataValidation>
    <dataValidation type="list" allowBlank="1" showInputMessage="1" showErrorMessage="1" sqref="O11:O26 M11:M26" xr:uid="{E031CA85-B845-4C1B-866E-76E2277ABA24}">
      <formula1>$S$32:$S$34</formula1>
    </dataValidation>
    <dataValidation type="list" allowBlank="1" showInputMessage="1" showErrorMessage="1" sqref="C27:D28" xr:uid="{7446FC9A-D305-493F-9B88-BC91F19023B8}">
      <formula1>$AR$11:$AR$33</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2E88E30E-A342-4523-AFE3-374235BE2A77}">
          <x14:formula1>
            <xm:f>Teams!$B$1:$B$31</xm:f>
          </x14:formula1>
          <xm:sqref>D2</xm:sqref>
        </x14:dataValidation>
        <x14:dataValidation type="list" showInputMessage="1" showErrorMessage="1" xr:uid="{5F8572D2-E44B-4411-A088-8363FAB83271}">
          <x14:formula1>
            <xm:f>Blessings!$B$11:$B$15</xm:f>
          </x14:formula1>
          <xm:sqref>J2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EF39-333E-4744-9EA7-0F3004377643}">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4"/>
      <c r="F1" s="284"/>
      <c r="G1" s="284"/>
      <c r="H1" s="284"/>
      <c r="I1" s="284"/>
      <c r="J1" s="284"/>
      <c r="K1" s="284"/>
      <c r="R1" s="12"/>
      <c r="U1" s="12"/>
      <c r="AA1" s="12"/>
      <c r="AD1" s="12"/>
    </row>
    <row r="2" spans="1:45" s="6" customFormat="1" ht="15" customHeight="1" thickBot="1" x14ac:dyDescent="0.3">
      <c r="B2" s="257" t="s">
        <v>493</v>
      </c>
      <c r="C2" s="258"/>
      <c r="D2" s="135" t="s">
        <v>706</v>
      </c>
      <c r="F2" s="303" t="s">
        <v>966</v>
      </c>
      <c r="G2" s="304"/>
      <c r="H2" s="304"/>
      <c r="I2" s="305"/>
      <c r="J2" s="315" t="s">
        <v>958</v>
      </c>
      <c r="K2" s="316"/>
      <c r="M2" s="248" t="str">
        <f>AC32</f>
        <v/>
      </c>
      <c r="N2" s="248"/>
      <c r="O2" s="248"/>
      <c r="P2" s="187"/>
    </row>
    <row r="3" spans="1:45" s="6" customFormat="1" ht="15" customHeight="1" x14ac:dyDescent="0.25">
      <c r="B3" s="268" t="s">
        <v>488</v>
      </c>
      <c r="C3" s="269"/>
      <c r="D3" s="134" t="str">
        <f>IFERROR(VLOOKUP($D$2,Teams!$B$2:'Teams'!$I$31,8,FALSE),"0")</f>
        <v>0</v>
      </c>
      <c r="F3" s="306"/>
      <c r="G3" s="307"/>
      <c r="H3" s="307"/>
      <c r="I3" s="308"/>
      <c r="J3" s="193" t="s">
        <v>964</v>
      </c>
      <c r="K3" s="194" t="s">
        <v>961</v>
      </c>
      <c r="M3" s="248" t="str">
        <f>IF($AP$11,"Too many players of a player type! ","") &amp; IF(COUNTBLANK(E11:E28)&lt;2,"Maximum 16 players! ","") &amp; IF(AND(B38&gt;=1,SUMPRODUCT(--(ISNUMBER(SEARCH("Secret Weapon",J11:K28))))&gt;0),"No Bribe and Secret Weapon! ","")</f>
        <v/>
      </c>
      <c r="N3" s="248"/>
      <c r="O3" s="248"/>
      <c r="P3" s="187"/>
    </row>
    <row r="4" spans="1:45" s="6" customFormat="1" ht="15" customHeight="1" thickBot="1" x14ac:dyDescent="0.3">
      <c r="B4" s="272" t="s">
        <v>971</v>
      </c>
      <c r="C4" s="273"/>
      <c r="D4" s="188">
        <f>IFERROR(VLOOKUP($J$2,Blessings!B10:C15,2,FALSE),"")</f>
        <v>0</v>
      </c>
      <c r="F4" s="265" t="s">
        <v>682</v>
      </c>
      <c r="G4" s="266"/>
      <c r="H4" s="266"/>
      <c r="I4" s="267"/>
      <c r="J4" s="177">
        <f>Y33</f>
        <v>0</v>
      </c>
      <c r="K4" s="178">
        <f>E43</f>
        <v>0</v>
      </c>
      <c r="M4" s="248" t="str">
        <f>IFERROR(IF(Z33&gt;Y33,"You exceeded your budget!",""),"")</f>
        <v/>
      </c>
      <c r="N4" s="248"/>
      <c r="O4" s="248"/>
      <c r="P4" s="187"/>
    </row>
    <row r="5" spans="1:45" s="6" customFormat="1" ht="15" customHeight="1" thickBot="1" x14ac:dyDescent="0.3">
      <c r="F5" s="265" t="s">
        <v>962</v>
      </c>
      <c r="G5" s="266"/>
      <c r="H5" s="266"/>
      <c r="I5" s="267"/>
      <c r="J5" s="179">
        <f>Y34</f>
        <v>0</v>
      </c>
      <c r="K5" s="180">
        <f>Z34</f>
        <v>0</v>
      </c>
      <c r="M5" s="248" t="str">
        <f>IFERROR(IF(Z34&gt;Y34,"You exceeded your available skill points!",""),"")</f>
        <v/>
      </c>
      <c r="N5" s="248"/>
      <c r="O5" s="248"/>
      <c r="P5" s="187"/>
    </row>
    <row r="6" spans="1:45" s="6" customFormat="1" ht="15" customHeight="1" x14ac:dyDescent="0.25">
      <c r="B6" s="257" t="s">
        <v>0</v>
      </c>
      <c r="C6" s="258"/>
      <c r="D6" s="184"/>
      <c r="F6" s="259" t="s">
        <v>704</v>
      </c>
      <c r="G6" s="260"/>
      <c r="H6" s="260"/>
      <c r="I6" s="261"/>
      <c r="J6" s="179">
        <f t="shared" ref="J6:K8" si="0">V33</f>
        <v>0</v>
      </c>
      <c r="K6" s="180">
        <f t="shared" si="0"/>
        <v>0</v>
      </c>
      <c r="L6"/>
      <c r="M6" s="248" t="str">
        <f ca="1">IFERROR(IF(AN11&gt;AI13,"Too many Big Guys! ",""),"") &amp; IF(COUNTIF(V11:V28, TRUE) &gt; 0, "Match players to selected team! ", "") &amp; IF(COUNTIF(W11:X226, TRUE) &gt; 0, "Match skill with player and upgrade!", "")</f>
        <v/>
      </c>
      <c r="N6" s="248"/>
      <c r="O6" s="248"/>
      <c r="P6" s="187"/>
    </row>
    <row r="7" spans="1:45" s="6" customFormat="1" ht="15" customHeight="1" x14ac:dyDescent="0.25">
      <c r="B7" s="268" t="s">
        <v>1</v>
      </c>
      <c r="C7" s="269"/>
      <c r="D7" s="185"/>
      <c r="F7" s="259" t="s">
        <v>963</v>
      </c>
      <c r="G7" s="260"/>
      <c r="H7" s="260"/>
      <c r="I7" s="261"/>
      <c r="J7" s="181">
        <f t="shared" si="0"/>
        <v>0</v>
      </c>
      <c r="K7" s="180">
        <f t="shared" si="0"/>
        <v>0</v>
      </c>
      <c r="M7" s="248" t="str">
        <f>IFERROR(IF($AS$11,"A Star Player can only be selected once! ",""),"") &amp; IF(_xlfn.XOR(ISNUMBER(SEARCH(":", C27)), ISNUMBER(SEARCH(":", C28))), "This Star Player comes as a pair!", "")</f>
        <v/>
      </c>
      <c r="N7" s="248"/>
      <c r="O7" s="248"/>
      <c r="P7" s="248"/>
    </row>
    <row r="8" spans="1:45" s="6" customFormat="1" ht="15" customHeight="1" thickBot="1" x14ac:dyDescent="0.3">
      <c r="B8" s="270" t="s">
        <v>775</v>
      </c>
      <c r="C8" s="271"/>
      <c r="D8" s="186"/>
      <c r="F8" s="262" t="s">
        <v>968</v>
      </c>
      <c r="G8" s="263"/>
      <c r="H8" s="263"/>
      <c r="I8" s="264"/>
      <c r="J8" s="182">
        <f t="shared" si="0"/>
        <v>0</v>
      </c>
      <c r="K8" s="183">
        <f t="shared" si="0"/>
        <v>0</v>
      </c>
      <c r="L8" s="290"/>
      <c r="M8" s="248" t="str">
        <f>IF(OR(W33&gt;V33,W34&gt;V34,W35&gt;V35),"Too many (stacked) skills! ","") &amp; IF(AND(B38&gt;=1,COUNTIF(M11:P26,"Sneaky Git")&gt;=1),"No Bribe and Sneaky Git! ","")</f>
        <v/>
      </c>
      <c r="N8" s="248"/>
      <c r="O8" s="248"/>
      <c r="P8" s="248"/>
    </row>
    <row r="9" spans="1:45" s="6" customFormat="1" ht="15" customHeight="1" thickBot="1" x14ac:dyDescent="0.3">
      <c r="B9" s="13"/>
      <c r="L9" s="291"/>
      <c r="M9" s="248" t="str">
        <f>IF(OR(AND(OR(AND(C27&lt;&gt;"",C27&lt;&gt;"Select Star Player"),AND(C28&lt;&gt;"",C28&lt;&gt;"Select Star Player")),ISNUMBER(FIND("Ares",J2))=FALSE),AND(AND(AND(C27&lt;&gt;"",C27&lt;&gt;"Select Star Player"),AND(C28&lt;&gt;"",C28&lt;&gt;"Select Star Player")),ISNUMBER(FIND("Ares",J2))=FALSE)),"Select the Ares blessing to field a Star Player!","")</f>
        <v/>
      </c>
      <c r="N9" s="248"/>
      <c r="O9" s="248"/>
      <c r="P9" s="248"/>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1" t="s">
        <v>688</v>
      </c>
      <c r="D10" s="327"/>
      <c r="E10" s="190" t="s">
        <v>4</v>
      </c>
      <c r="F10" s="190" t="s">
        <v>5</v>
      </c>
      <c r="G10" s="190" t="s">
        <v>6</v>
      </c>
      <c r="H10" s="190" t="s">
        <v>7</v>
      </c>
      <c r="I10" s="190" t="s">
        <v>8</v>
      </c>
      <c r="J10" s="311" t="s">
        <v>291</v>
      </c>
      <c r="K10" s="312"/>
      <c r="L10" s="191" t="s">
        <v>715</v>
      </c>
      <c r="M10" s="189" t="s">
        <v>735</v>
      </c>
      <c r="N10" s="190" t="s">
        <v>15</v>
      </c>
      <c r="O10" s="189" t="s">
        <v>736</v>
      </c>
      <c r="P10" s="192" t="s">
        <v>15</v>
      </c>
      <c r="Q10" s="6"/>
      <c r="R10" s="7"/>
      <c r="S10" s="82" t="s">
        <v>281</v>
      </c>
      <c r="T10" s="83" t="s">
        <v>282</v>
      </c>
      <c r="U10" s="84" t="s">
        <v>490</v>
      </c>
      <c r="V10" s="83" t="s">
        <v>978</v>
      </c>
      <c r="W10" s="300" t="s">
        <v>979</v>
      </c>
      <c r="X10" s="300"/>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1"/>
      <c r="D11" s="322"/>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09" t="str">
        <f>IF(N11&lt;&gt;"",CONCATENATE(IF(U11="None","",U11&amp;", "),N11,IF(P11="","",", "),P11),U11)</f>
        <v/>
      </c>
      <c r="K11" s="310"/>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7"/>
      <c r="D12" s="318"/>
      <c r="E12" s="16" t="str">
        <f t="shared" si="1"/>
        <v/>
      </c>
      <c r="F12" s="16" t="str">
        <f t="shared" si="2"/>
        <v/>
      </c>
      <c r="G12" s="18" t="str">
        <f t="shared" si="3"/>
        <v/>
      </c>
      <c r="H12" s="18" t="str">
        <f t="shared" si="4"/>
        <v/>
      </c>
      <c r="I12" s="18" t="str">
        <f t="shared" si="5"/>
        <v/>
      </c>
      <c r="J12" s="313" t="str">
        <f t="shared" ref="J12:J26" si="11">IF(N12&lt;&gt;"",CONCATENATE(IF(U12="None","",U12&amp;", "),N12,IF(P12="","",", "),P12),U12)</f>
        <v/>
      </c>
      <c r="K12" s="314"/>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7"/>
      <c r="D13" s="318"/>
      <c r="E13" s="16" t="str">
        <f t="shared" si="1"/>
        <v/>
      </c>
      <c r="F13" s="16" t="str">
        <f t="shared" si="2"/>
        <v/>
      </c>
      <c r="G13" s="18" t="str">
        <f t="shared" si="3"/>
        <v/>
      </c>
      <c r="H13" s="18" t="str">
        <f t="shared" si="4"/>
        <v/>
      </c>
      <c r="I13" s="18" t="str">
        <f t="shared" si="5"/>
        <v/>
      </c>
      <c r="J13" s="282" t="str">
        <f t="shared" si="11"/>
        <v/>
      </c>
      <c r="K13" s="283"/>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7"/>
      <c r="D14" s="318"/>
      <c r="E14" s="16" t="str">
        <f t="shared" si="1"/>
        <v/>
      </c>
      <c r="F14" s="16" t="str">
        <f t="shared" si="2"/>
        <v/>
      </c>
      <c r="G14" s="18" t="str">
        <f t="shared" si="3"/>
        <v/>
      </c>
      <c r="H14" s="18" t="str">
        <f t="shared" si="4"/>
        <v/>
      </c>
      <c r="I14" s="18" t="str">
        <f t="shared" si="5"/>
        <v/>
      </c>
      <c r="J14" s="282" t="str">
        <f t="shared" si="11"/>
        <v/>
      </c>
      <c r="K14" s="283"/>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7"/>
      <c r="D15" s="318"/>
      <c r="E15" s="16" t="str">
        <f t="shared" si="1"/>
        <v/>
      </c>
      <c r="F15" s="16" t="str">
        <f t="shared" si="2"/>
        <v/>
      </c>
      <c r="G15" s="18" t="str">
        <f t="shared" si="3"/>
        <v/>
      </c>
      <c r="H15" s="18" t="str">
        <f t="shared" si="4"/>
        <v/>
      </c>
      <c r="I15" s="18" t="str">
        <f t="shared" si="5"/>
        <v/>
      </c>
      <c r="J15" s="282" t="str">
        <f t="shared" si="11"/>
        <v/>
      </c>
      <c r="K15" s="283"/>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7"/>
      <c r="D16" s="318"/>
      <c r="E16" s="16" t="str">
        <f t="shared" si="1"/>
        <v/>
      </c>
      <c r="F16" s="16" t="str">
        <f t="shared" si="2"/>
        <v/>
      </c>
      <c r="G16" s="18" t="str">
        <f t="shared" si="3"/>
        <v/>
      </c>
      <c r="H16" s="18" t="str">
        <f t="shared" si="4"/>
        <v/>
      </c>
      <c r="I16" s="18" t="str">
        <f t="shared" si="5"/>
        <v/>
      </c>
      <c r="J16" s="282" t="str">
        <f t="shared" si="11"/>
        <v/>
      </c>
      <c r="K16" s="283"/>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7"/>
      <c r="D17" s="318"/>
      <c r="E17" s="16" t="str">
        <f t="shared" si="1"/>
        <v/>
      </c>
      <c r="F17" s="16" t="str">
        <f t="shared" si="2"/>
        <v/>
      </c>
      <c r="G17" s="18" t="str">
        <f t="shared" si="3"/>
        <v/>
      </c>
      <c r="H17" s="18" t="str">
        <f t="shared" si="4"/>
        <v/>
      </c>
      <c r="I17" s="18" t="str">
        <f t="shared" si="5"/>
        <v/>
      </c>
      <c r="J17" s="282" t="str">
        <f t="shared" si="11"/>
        <v/>
      </c>
      <c r="K17" s="283"/>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7"/>
      <c r="D18" s="318"/>
      <c r="E18" s="16" t="str">
        <f t="shared" si="1"/>
        <v/>
      </c>
      <c r="F18" s="16" t="str">
        <f t="shared" si="2"/>
        <v/>
      </c>
      <c r="G18" s="18" t="str">
        <f t="shared" si="3"/>
        <v/>
      </c>
      <c r="H18" s="18" t="str">
        <f t="shared" si="4"/>
        <v/>
      </c>
      <c r="I18" s="18" t="str">
        <f t="shared" si="5"/>
        <v/>
      </c>
      <c r="J18" s="282" t="str">
        <f t="shared" si="11"/>
        <v/>
      </c>
      <c r="K18" s="283"/>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7"/>
      <c r="D19" s="318"/>
      <c r="E19" s="16" t="str">
        <f t="shared" si="1"/>
        <v/>
      </c>
      <c r="F19" s="16" t="str">
        <f t="shared" si="2"/>
        <v/>
      </c>
      <c r="G19" s="18" t="str">
        <f t="shared" si="3"/>
        <v/>
      </c>
      <c r="H19" s="18" t="str">
        <f t="shared" si="4"/>
        <v/>
      </c>
      <c r="I19" s="18" t="str">
        <f t="shared" si="5"/>
        <v/>
      </c>
      <c r="J19" s="282" t="str">
        <f t="shared" si="11"/>
        <v/>
      </c>
      <c r="K19" s="283"/>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7"/>
      <c r="D20" s="318"/>
      <c r="E20" s="16" t="str">
        <f t="shared" si="1"/>
        <v/>
      </c>
      <c r="F20" s="16" t="str">
        <f t="shared" si="2"/>
        <v/>
      </c>
      <c r="G20" s="18" t="str">
        <f t="shared" si="3"/>
        <v/>
      </c>
      <c r="H20" s="18" t="str">
        <f t="shared" si="4"/>
        <v/>
      </c>
      <c r="I20" s="18" t="str">
        <f t="shared" si="5"/>
        <v/>
      </c>
      <c r="J20" s="282" t="str">
        <f t="shared" si="11"/>
        <v/>
      </c>
      <c r="K20" s="283"/>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7"/>
      <c r="D21" s="318"/>
      <c r="E21" s="16" t="str">
        <f t="shared" si="1"/>
        <v/>
      </c>
      <c r="F21" s="16" t="str">
        <f t="shared" si="2"/>
        <v/>
      </c>
      <c r="G21" s="18" t="str">
        <f t="shared" si="3"/>
        <v/>
      </c>
      <c r="H21" s="18" t="str">
        <f t="shared" si="4"/>
        <v/>
      </c>
      <c r="I21" s="18" t="str">
        <f t="shared" si="5"/>
        <v/>
      </c>
      <c r="J21" s="282" t="str">
        <f t="shared" si="11"/>
        <v/>
      </c>
      <c r="K21" s="283"/>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7"/>
      <c r="D22" s="318"/>
      <c r="E22" s="16" t="str">
        <f t="shared" si="1"/>
        <v/>
      </c>
      <c r="F22" s="16" t="str">
        <f t="shared" si="2"/>
        <v/>
      </c>
      <c r="G22" s="18" t="str">
        <f t="shared" si="3"/>
        <v/>
      </c>
      <c r="H22" s="18" t="str">
        <f t="shared" si="4"/>
        <v/>
      </c>
      <c r="I22" s="18" t="str">
        <f t="shared" si="5"/>
        <v/>
      </c>
      <c r="J22" s="282" t="str">
        <f t="shared" si="11"/>
        <v/>
      </c>
      <c r="K22" s="283"/>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7"/>
      <c r="D23" s="318"/>
      <c r="E23" s="16" t="str">
        <f t="shared" si="1"/>
        <v/>
      </c>
      <c r="F23" s="16" t="str">
        <f t="shared" si="2"/>
        <v/>
      </c>
      <c r="G23" s="18" t="str">
        <f t="shared" si="3"/>
        <v/>
      </c>
      <c r="H23" s="18" t="str">
        <f t="shared" si="4"/>
        <v/>
      </c>
      <c r="I23" s="18" t="str">
        <f t="shared" si="5"/>
        <v/>
      </c>
      <c r="J23" s="282" t="str">
        <f t="shared" si="11"/>
        <v/>
      </c>
      <c r="K23" s="283"/>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7"/>
      <c r="D24" s="318"/>
      <c r="E24" s="16" t="str">
        <f t="shared" si="1"/>
        <v/>
      </c>
      <c r="F24" s="16" t="str">
        <f t="shared" si="2"/>
        <v/>
      </c>
      <c r="G24" s="18" t="str">
        <f t="shared" si="3"/>
        <v/>
      </c>
      <c r="H24" s="18" t="str">
        <f t="shared" si="4"/>
        <v/>
      </c>
      <c r="I24" s="18" t="str">
        <f t="shared" si="5"/>
        <v/>
      </c>
      <c r="J24" s="282" t="str">
        <f t="shared" si="11"/>
        <v/>
      </c>
      <c r="K24" s="283"/>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7"/>
      <c r="D25" s="318"/>
      <c r="E25" s="16" t="str">
        <f t="shared" si="1"/>
        <v/>
      </c>
      <c r="F25" s="16" t="str">
        <f t="shared" si="2"/>
        <v/>
      </c>
      <c r="G25" s="18" t="str">
        <f t="shared" si="3"/>
        <v/>
      </c>
      <c r="H25" s="18" t="str">
        <f t="shared" si="4"/>
        <v/>
      </c>
      <c r="I25" s="18" t="str">
        <f t="shared" si="5"/>
        <v/>
      </c>
      <c r="J25" s="323" t="str">
        <f t="shared" si="11"/>
        <v/>
      </c>
      <c r="K25" s="324"/>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19"/>
      <c r="D26" s="320"/>
      <c r="E26" s="57" t="str">
        <f t="shared" si="1"/>
        <v/>
      </c>
      <c r="F26" s="57" t="str">
        <f t="shared" si="2"/>
        <v/>
      </c>
      <c r="G26" s="58" t="str">
        <f t="shared" si="3"/>
        <v/>
      </c>
      <c r="H26" s="58" t="str">
        <f t="shared" si="4"/>
        <v/>
      </c>
      <c r="I26" s="58" t="str">
        <f t="shared" si="5"/>
        <v/>
      </c>
      <c r="J26" s="325" t="str">
        <f t="shared" si="11"/>
        <v/>
      </c>
      <c r="K26" s="326"/>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1" t="s">
        <v>768</v>
      </c>
      <c r="D27" s="322"/>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8" t="str">
        <f>IFERROR(VLOOKUP(C27,StarplayerList,9,FALSE),"")</f>
        <v/>
      </c>
      <c r="K27" s="279"/>
      <c r="L27" s="202" t="str">
        <f>IFERROR(1000*VLOOKUP(C27,StarplayerList,3,FALSE),"")</f>
        <v/>
      </c>
      <c r="M27" s="292" t="str">
        <f>IFERROR(VLOOKUP(C27,StarplayerList,10,FALSE),"")</f>
        <v/>
      </c>
      <c r="N27" s="293"/>
      <c r="O27" s="296" t="str">
        <f>IFERROR(VLOOKUP(C27,StarplayerList,12,FALSE),"")</f>
        <v/>
      </c>
      <c r="P27" s="297"/>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0" t="s">
        <v>768</v>
      </c>
      <c r="D28" s="331"/>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0" t="str">
        <f>IFERROR(VLOOKUP(C28,StarplayerList,9,FALSE),"")</f>
        <v/>
      </c>
      <c r="K28" s="281"/>
      <c r="L28" s="203" t="str">
        <f>IFERROR(1000*VLOOKUP(C28,StarplayerList,3,FALSE),"")</f>
        <v/>
      </c>
      <c r="M28" s="294" t="str">
        <f>IFERROR(VLOOKUP(C28,StarplayerList,10,FALSE),"")</f>
        <v/>
      </c>
      <c r="N28" s="295"/>
      <c r="O28" s="298" t="str">
        <f>IFERROR(VLOOKUP(C28,StarplayerList,11,FALSE),"")</f>
        <v/>
      </c>
      <c r="P28" s="299"/>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4" t="s">
        <v>776</v>
      </c>
      <c r="C30" s="345"/>
      <c r="D30" s="346"/>
      <c r="E30" s="351">
        <f>Y33-E43</f>
        <v>0</v>
      </c>
      <c r="F30" s="352"/>
      <c r="G30" s="353"/>
      <c r="H30" s="54"/>
      <c r="I30" s="54"/>
      <c r="J30" s="288" t="s">
        <v>528</v>
      </c>
      <c r="K30" s="289"/>
      <c r="L30" s="6"/>
      <c r="M30" s="332" t="s">
        <v>767</v>
      </c>
      <c r="N30" s="333"/>
      <c r="O30" s="333"/>
      <c r="P30" s="334"/>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5">
        <f>B31*D31</f>
        <v>0</v>
      </c>
      <c r="F31" s="255"/>
      <c r="G31" s="256"/>
      <c r="H31" s="54"/>
      <c r="I31" s="54"/>
      <c r="J31" s="274" t="str">
        <f>IFERROR(VLOOKUP(AI11,Special_Rules,2,TRUE),"")</f>
        <v/>
      </c>
      <c r="K31" s="275"/>
      <c r="L31" s="6"/>
      <c r="M31" s="335" t="str">
        <f>IFERROR(VLOOKUP(C27,StarplayerList,11,FALSE),"") &amp; " " &amp; CHAR(10) &amp;
IFERROR(VLOOKUP(C28,StarplayerList,10,FALSE),"")</f>
        <v xml:space="preserve"> 
</v>
      </c>
      <c r="N31" s="336"/>
      <c r="O31" s="336"/>
      <c r="P31" s="337"/>
      <c r="Q31" s="6"/>
      <c r="R31" s="6"/>
      <c r="S31" s="137" t="s">
        <v>739</v>
      </c>
      <c r="T31" s="136"/>
      <c r="U31" s="172" t="s">
        <v>488</v>
      </c>
      <c r="V31" s="160" t="str">
        <f>D3</f>
        <v>0</v>
      </c>
      <c r="W31" s="172" t="s">
        <v>746</v>
      </c>
      <c r="X31" s="285" t="str">
        <f>J2</f>
        <v>Spartan (no effect)</v>
      </c>
      <c r="Y31" s="285"/>
      <c r="Z31" s="285"/>
      <c r="AA31" s="286"/>
      <c r="AB31" s="286"/>
      <c r="AC31" s="286"/>
      <c r="AD31" s="287"/>
      <c r="AN31" s="6"/>
      <c r="AO31" s="6"/>
      <c r="AP31" s="6"/>
      <c r="AQ31" s="107">
        <v>20</v>
      </c>
      <c r="AR31" s="66" t="str">
        <f t="shared" si="24"/>
        <v/>
      </c>
      <c r="AS31" s="68" t="b">
        <f t="shared" si="25"/>
        <v>0</v>
      </c>
    </row>
    <row r="32" spans="1:45" ht="14.45" customHeight="1" x14ac:dyDescent="0.25">
      <c r="B32" s="55">
        <v>0</v>
      </c>
      <c r="C32" s="195" t="s">
        <v>11</v>
      </c>
      <c r="D32" s="196">
        <v>10000</v>
      </c>
      <c r="E32" s="255">
        <f>B32*D32</f>
        <v>0</v>
      </c>
      <c r="F32" s="255"/>
      <c r="G32" s="256"/>
      <c r="H32" s="54"/>
      <c r="I32" s="54"/>
      <c r="J32" s="274"/>
      <c r="K32" s="275"/>
      <c r="L32" s="113"/>
      <c r="M32" s="338"/>
      <c r="N32" s="339"/>
      <c r="O32" s="339"/>
      <c r="P32" s="340"/>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5">
        <f>B33*D33</f>
        <v>0</v>
      </c>
      <c r="F33" s="255"/>
      <c r="G33" s="256"/>
      <c r="H33" s="54"/>
      <c r="I33" s="54"/>
      <c r="J33" s="274"/>
      <c r="K33" s="275"/>
      <c r="L33" s="113"/>
      <c r="M33" s="338"/>
      <c r="N33" s="339"/>
      <c r="O33" s="339"/>
      <c r="P33" s="340"/>
      <c r="Q33" s="6"/>
      <c r="R33" s="6"/>
      <c r="S33" s="73" t="s">
        <v>738</v>
      </c>
      <c r="T33" s="76"/>
      <c r="U33" s="167" t="s">
        <v>281</v>
      </c>
      <c r="V33" s="168">
        <f>IFERROR(VLOOKUP(V31,Blessings!$A$2:$E$7,3,FALSE) + 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1">
        <f>B34*D34</f>
        <v>0</v>
      </c>
      <c r="F34" s="301"/>
      <c r="G34" s="302"/>
      <c r="H34" s="54"/>
      <c r="I34" s="54"/>
      <c r="J34" s="274" t="str">
        <f>IFERROR(IFERROR(VLOOKUP(LEFT($AI$11,3),SpecialRules,3,FALSE),"") &amp; IFERROR(VLOOKUP(MID($AI$11,4,3),SpecialRules,3,FALSE),""),"")</f>
        <v/>
      </c>
      <c r="K34" s="275"/>
      <c r="L34" s="113"/>
      <c r="M34" s="338"/>
      <c r="N34" s="339"/>
      <c r="O34" s="339"/>
      <c r="P34" s="340"/>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5">
        <f t="shared" ref="E35:E36" si="27">B35*D35</f>
        <v>0</v>
      </c>
      <c r="F35" s="255"/>
      <c r="G35" s="256"/>
      <c r="H35" s="24"/>
      <c r="I35" s="24"/>
      <c r="J35" s="274"/>
      <c r="K35" s="275"/>
      <c r="L35" s="113"/>
      <c r="M35" s="338"/>
      <c r="N35" s="339"/>
      <c r="O35" s="339"/>
      <c r="P35" s="340"/>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5">
        <f t="shared" si="27"/>
        <v>0</v>
      </c>
      <c r="F36" s="255"/>
      <c r="G36" s="256"/>
      <c r="H36" s="24"/>
      <c r="I36" s="24"/>
      <c r="J36" s="274"/>
      <c r="K36" s="275"/>
      <c r="L36" s="113"/>
      <c r="M36" s="338"/>
      <c r="N36" s="339"/>
      <c r="O36" s="339"/>
      <c r="P36" s="340"/>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5">
        <f>B37*D37</f>
        <v>0</v>
      </c>
      <c r="F37" s="255"/>
      <c r="G37" s="256"/>
      <c r="H37" s="24"/>
      <c r="I37" s="24"/>
      <c r="J37" s="274"/>
      <c r="K37" s="275"/>
      <c r="L37" s="113"/>
      <c r="M37" s="338"/>
      <c r="N37" s="339"/>
      <c r="O37" s="339"/>
      <c r="P37" s="340"/>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5">
        <f>B38*D38</f>
        <v>0</v>
      </c>
      <c r="F38" s="255"/>
      <c r="G38" s="256"/>
      <c r="H38" s="24"/>
      <c r="I38" s="24"/>
      <c r="J38" s="274"/>
      <c r="K38" s="275"/>
      <c r="L38" s="113"/>
      <c r="M38" s="338"/>
      <c r="N38" s="339"/>
      <c r="O38" s="339"/>
      <c r="P38" s="340"/>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5">
        <f t="shared" ref="E39" si="28">B39*D39</f>
        <v>0</v>
      </c>
      <c r="F39" s="255"/>
      <c r="G39" s="256"/>
      <c r="H39" s="24"/>
      <c r="J39" s="274"/>
      <c r="K39" s="275"/>
      <c r="L39" s="6"/>
      <c r="M39" s="338"/>
      <c r="N39" s="339"/>
      <c r="O39" s="339"/>
      <c r="P39" s="340"/>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49">
        <f>B40*D40</f>
        <v>0</v>
      </c>
      <c r="F40" s="349"/>
      <c r="G40" s="350"/>
      <c r="H40" s="24"/>
      <c r="I40" s="24"/>
      <c r="J40" s="276"/>
      <c r="K40" s="277"/>
      <c r="L40" s="6"/>
      <c r="M40" s="341"/>
      <c r="N40" s="342"/>
      <c r="O40" s="342"/>
      <c r="P40" s="343"/>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5">
        <f>IF(B41&lt;1,B41*50000,(B41-1)*100000+50000)</f>
        <v>0</v>
      </c>
      <c r="F41" s="255"/>
      <c r="G41" s="256"/>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5">
        <f>B42*D42</f>
        <v>0</v>
      </c>
      <c r="F42" s="255"/>
      <c r="G42" s="256"/>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4" t="s">
        <v>677</v>
      </c>
      <c r="C43" s="345"/>
      <c r="D43" s="346"/>
      <c r="E43" s="347">
        <f>SUM(L11:L28)+SUM(E31:G42)</f>
        <v>0</v>
      </c>
      <c r="F43" s="347"/>
      <c r="G43" s="348"/>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8" t="str">
        <f>IF(D7&lt;&gt;"",D7 &amp; IF(D8&lt;&gt;""," (" &amp; D8 &amp; ")",""),"") &amp; IF(D6&lt;&gt;""," - " &amp; D6,"") &amp; IF(AND(D2&lt;&gt;"",D2&lt;&gt;"Select Team")," [" &amp; D2 &amp; "]","")</f>
        <v/>
      </c>
      <c r="C45" s="328"/>
      <c r="D45" s="328"/>
      <c r="E45" s="328"/>
      <c r="F45" s="328"/>
      <c r="G45" s="328"/>
      <c r="H45" s="328"/>
      <c r="I45" s="328"/>
      <c r="J45" s="328"/>
      <c r="K45" s="328"/>
      <c r="L45" s="328"/>
      <c r="M45" s="328"/>
      <c r="N45" s="328"/>
      <c r="O45" s="328"/>
      <c r="P45" s="328"/>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29" t="str">
        <f>IF(AND(SquadName&lt;&gt;"",SquadName&lt;&gt;"Enter Squad Name"),"Squad "&amp; SquadName,"")</f>
        <v/>
      </c>
      <c r="C46" s="329"/>
      <c r="D46" s="329"/>
      <c r="E46" s="329"/>
      <c r="F46" s="329"/>
      <c r="G46" s="329"/>
      <c r="H46" s="329"/>
      <c r="I46" s="329"/>
      <c r="J46" s="329"/>
      <c r="K46" s="329"/>
      <c r="L46" s="329"/>
      <c r="M46" s="329"/>
      <c r="N46" s="329"/>
      <c r="O46" s="329"/>
      <c r="P46" s="329"/>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50" priority="23">
      <formula>IF(AND($D$7&lt;&gt;"",$B$34=#REF!),TRUE,FALSE)</formula>
    </cfRule>
  </conditionalFormatting>
  <conditionalFormatting sqref="B41:B43 E41:E43">
    <cfRule type="expression" dxfId="49" priority="24">
      <formula>IF(AND($E$43&gt;0,$E$43=#REF!*1000),TRUE,FALSE)</formula>
    </cfRule>
  </conditionalFormatting>
  <conditionalFormatting sqref="B30:G30">
    <cfRule type="expression" dxfId="48" priority="11">
      <formula>IF($E$30&lt;0, TRUE, FALSE)</formula>
    </cfRule>
  </conditionalFormatting>
  <conditionalFormatting sqref="B40:G40">
    <cfRule type="expression" dxfId="47" priority="17">
      <formula>IF($C$40="",TRUE,FALSE)</formula>
    </cfRule>
  </conditionalFormatting>
  <conditionalFormatting sqref="B41:G41">
    <cfRule type="expression" dxfId="46" priority="21">
      <formula>IF($AI$14="No", TRUE, FALSE)</formula>
    </cfRule>
  </conditionalFormatting>
  <conditionalFormatting sqref="B28:P28">
    <cfRule type="expression" dxfId="45" priority="1">
      <formula>$D$3&lt;5</formula>
    </cfRule>
  </conditionalFormatting>
  <conditionalFormatting sqref="B45:P45">
    <cfRule type="expression" dxfId="44" priority="8">
      <formula>$B$45=""</formula>
    </cfRule>
  </conditionalFormatting>
  <conditionalFormatting sqref="B46:P46">
    <cfRule type="expression" dxfId="43" priority="9">
      <formula>$B$46=""</formula>
    </cfRule>
  </conditionalFormatting>
  <conditionalFormatting sqref="C11:C28">
    <cfRule type="expression" dxfId="42" priority="20">
      <formula>OR($M$3&lt;&gt;"", $M$6&lt;&gt;"", $M$7&lt;&gt;"")</formula>
    </cfRule>
  </conditionalFormatting>
  <conditionalFormatting sqref="C27:C28">
    <cfRule type="expression" dxfId="41" priority="19">
      <formula>$AS$11</formula>
    </cfRule>
  </conditionalFormatting>
  <conditionalFormatting sqref="C11:D26">
    <cfRule type="expression" dxfId="40" priority="5">
      <formula>AND(C11&lt;&gt;"", ISERROR(MATCH(C11, $AL$11:$AL$27, 0)))</formula>
    </cfRule>
  </conditionalFormatting>
  <conditionalFormatting sqref="C27:D28">
    <cfRule type="expression" dxfId="39" priority="4">
      <formula>AND(C27&lt;&gt;"", ISERROR(MATCH(C27, $AR$11:$AR$41, 0)))</formula>
    </cfRule>
  </conditionalFormatting>
  <conditionalFormatting sqref="E11:E26">
    <cfRule type="expression" dxfId="38" priority="16">
      <formula>IF(E11&lt;&gt;"",IF(OR($E11&lt;1,E11&gt;9),TRUE,FALSE),FALSE)</formula>
    </cfRule>
  </conditionalFormatting>
  <conditionalFormatting sqref="F11:F26">
    <cfRule type="expression" dxfId="37" priority="15">
      <formula>IF($F11&lt;&gt;"",IF(OR($F11&lt;1,$F11&gt;8),TRUE,FALSE),FALSE)</formula>
    </cfRule>
  </conditionalFormatting>
  <conditionalFormatting sqref="G11:G26">
    <cfRule type="expression" dxfId="36" priority="14">
      <formula>IF($G11&lt;&gt;"",IF(OR($G11&lt;1,$G11&gt;6),TRUE,FALSE),FALSE)</formula>
    </cfRule>
  </conditionalFormatting>
  <conditionalFormatting sqref="H11:H26">
    <cfRule type="expression" dxfId="35" priority="13">
      <formula>IF(AND($H11&lt;&gt;"-",$H11&lt;&gt;""),IF(OR($H11&lt;1,$H11&gt;6),TRUE,FALSE),FALSE)</formula>
    </cfRule>
  </conditionalFormatting>
  <conditionalFormatting sqref="I11:I26">
    <cfRule type="expression" dxfId="34" priority="12">
      <formula>IF($I11&lt;&gt;"",IF(OR($I11&lt;3,$I11&gt;11),TRUE,FALSE),FALSE)</formula>
    </cfRule>
  </conditionalFormatting>
  <conditionalFormatting sqref="J2">
    <cfRule type="expression" dxfId="33" priority="7">
      <formula>$M$9&lt;&gt;""</formula>
    </cfRule>
  </conditionalFormatting>
  <conditionalFormatting sqref="K4:K8">
    <cfRule type="expression" dxfId="32" priority="6">
      <formula>$K4&gt;$J4</formula>
    </cfRule>
  </conditionalFormatting>
  <conditionalFormatting sqref="M11:P26">
    <cfRule type="expression" dxfId="31" priority="18">
      <formula>OR($M$2&lt;&gt;"",$M$8&lt;&gt;"")</formula>
    </cfRule>
  </conditionalFormatting>
  <conditionalFormatting sqref="M30:P43">
    <cfRule type="expression" dxfId="30" priority="10">
      <formula>AND($M$27="",$M$28="")</formula>
    </cfRule>
  </conditionalFormatting>
  <conditionalFormatting sqref="N11:N26">
    <cfRule type="expression" dxfId="29" priority="3">
      <formula>W11</formula>
    </cfRule>
  </conditionalFormatting>
  <conditionalFormatting sqref="P2 M2:M6 P6 M7:P9">
    <cfRule type="notContainsBlanks" dxfId="28" priority="22">
      <formula>LEN(TRIM(M2))&gt;0</formula>
    </cfRule>
  </conditionalFormatting>
  <conditionalFormatting sqref="P11:P26">
    <cfRule type="expression" dxfId="27" priority="2">
      <formula>X11</formula>
    </cfRule>
  </conditionalFormatting>
  <dataValidations count="11">
    <dataValidation type="list" allowBlank="1" showInputMessage="1" showErrorMessage="1" sqref="C27:D28" xr:uid="{02CF3452-E11B-418F-8630-F834DAC2DFC7}">
      <formula1>$AR$11:$AR$33</formula1>
    </dataValidation>
    <dataValidation type="list" allowBlank="1" showInputMessage="1" showErrorMessage="1" sqref="O11:O26 M11:M26" xr:uid="{94508AF2-60A1-4A24-B002-D6468A274214}">
      <formula1>$S$32:$S$34</formula1>
    </dataValidation>
    <dataValidation type="list" allowBlank="1" showInputMessage="1" showErrorMessage="1" sqref="C11:C26" xr:uid="{F2A26DB7-0E89-41D2-A0DA-A00DFFE5AC3A}">
      <formula1>$AL$11:$AL$27</formula1>
    </dataValidation>
    <dataValidation type="list" allowBlank="1" showInputMessage="1" showErrorMessage="1" sqref="B37" xr:uid="{2FDF57CD-BF84-499B-ADD7-F643437B304B}">
      <formula1>$AJ$11:$AJ$13</formula1>
    </dataValidation>
    <dataValidation type="list" allowBlank="1" showInputMessage="1" showErrorMessage="1" sqref="B42 B39:B40 B35:B36" xr:uid="{28F4E575-BC25-44C6-A83B-2D855D7B43D5}">
      <formula1>$AJ$11:$AJ$12</formula1>
    </dataValidation>
    <dataValidation type="list" allowBlank="1" showInputMessage="1" showErrorMessage="1" sqref="B31" xr:uid="{9047F530-7B6A-4B09-BCE6-DA05EC71048E}">
      <formula1>$AJ$11:$AJ$19</formula1>
    </dataValidation>
    <dataValidation type="list" allowBlank="1" showInputMessage="1" showErrorMessage="1" sqref="B32 B34" xr:uid="{38BCC7F5-4947-43A3-8A4B-4F6866394F13}">
      <formula1>$AJ$11:$AJ$17</formula1>
    </dataValidation>
    <dataValidation type="list" allowBlank="1" showInputMessage="1" showErrorMessage="1" sqref="B41 B38" xr:uid="{7B897284-9A50-46B9-A5F7-57C3A55538EB}">
      <formula1>$AJ$11:$AJ$14</formula1>
    </dataValidation>
    <dataValidation type="list" allowBlank="1" showInputMessage="1" showErrorMessage="1" sqref="B33" xr:uid="{571FD089-9798-4894-A568-87690EB56AE2}">
      <formula1>$AJ$11:$AJ$23</formula1>
    </dataValidation>
    <dataValidation type="list" allowBlank="1" showInputMessage="1" showErrorMessage="1" sqref="N11:N26" xr:uid="{A015D6F7-F284-4149-9082-3DC1D9FBD715}">
      <formula1>INDIRECT(AE11)</formula1>
    </dataValidation>
    <dataValidation type="list" allowBlank="1" showInputMessage="1" showErrorMessage="1" sqref="P11:P26" xr:uid="{59313EE5-2A7E-465E-B23F-5D4EEE65AB75}">
      <formula1>INDIRECT(AF11)</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EFED5EF0-2F5D-4C69-8693-2B21ED2EAD82}">
          <x14:formula1>
            <xm:f>Blessings!$B$11:$B$15</xm:f>
          </x14:formula1>
          <xm:sqref>J2</xm:sqref>
        </x14:dataValidation>
        <x14:dataValidation type="list" showInputMessage="1" showErrorMessage="1" xr:uid="{D8BE680E-F292-4531-950C-142C18C47D24}">
          <x14:formula1>
            <xm:f>Teams!$B$1:$B$31</xm:f>
          </x14:formula1>
          <xm:sqref>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53CA-7394-4B27-8717-D29D1D0378FC}">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4"/>
      <c r="F1" s="284"/>
      <c r="G1" s="284"/>
      <c r="H1" s="284"/>
      <c r="I1" s="284"/>
      <c r="J1" s="284"/>
      <c r="K1" s="284"/>
      <c r="R1" s="12"/>
      <c r="U1" s="12"/>
      <c r="AA1" s="12"/>
      <c r="AD1" s="12"/>
    </row>
    <row r="2" spans="1:45" s="6" customFormat="1" ht="15" customHeight="1" thickBot="1" x14ac:dyDescent="0.3">
      <c r="B2" s="257" t="s">
        <v>493</v>
      </c>
      <c r="C2" s="258"/>
      <c r="D2" s="135" t="s">
        <v>706</v>
      </c>
      <c r="F2" s="303" t="s">
        <v>966</v>
      </c>
      <c r="G2" s="304"/>
      <c r="H2" s="304"/>
      <c r="I2" s="305"/>
      <c r="J2" s="315" t="s">
        <v>958</v>
      </c>
      <c r="K2" s="316"/>
      <c r="M2" s="248" t="str">
        <f>AC32</f>
        <v/>
      </c>
      <c r="N2" s="248"/>
      <c r="O2" s="248"/>
      <c r="P2" s="187"/>
    </row>
    <row r="3" spans="1:45" s="6" customFormat="1" ht="15" customHeight="1" x14ac:dyDescent="0.25">
      <c r="B3" s="268" t="s">
        <v>488</v>
      </c>
      <c r="C3" s="269"/>
      <c r="D3" s="134" t="str">
        <f>IFERROR(VLOOKUP($D$2,Teams!$B$2:'Teams'!$I$31,8,FALSE),"0")</f>
        <v>0</v>
      </c>
      <c r="F3" s="306"/>
      <c r="G3" s="307"/>
      <c r="H3" s="307"/>
      <c r="I3" s="308"/>
      <c r="J3" s="193" t="s">
        <v>964</v>
      </c>
      <c r="K3" s="194" t="s">
        <v>961</v>
      </c>
      <c r="M3" s="248" t="str">
        <f>IF($AP$11,"Too many players of a player type! ","") &amp; IF(COUNTBLANK(E11:E28)&lt;2,"Maximum 16 players! ","") &amp; IF(AND(B38&gt;=1,SUMPRODUCT(--(ISNUMBER(SEARCH("Secret Weapon",J11:K28))))&gt;0),"No Bribe and Secret Weapon! ","")</f>
        <v/>
      </c>
      <c r="N3" s="248"/>
      <c r="O3" s="248"/>
      <c r="P3" s="187"/>
    </row>
    <row r="4" spans="1:45" s="6" customFormat="1" ht="15" customHeight="1" thickBot="1" x14ac:dyDescent="0.3">
      <c r="B4" s="272" t="s">
        <v>971</v>
      </c>
      <c r="C4" s="273"/>
      <c r="D4" s="188">
        <f>IFERROR(VLOOKUP($J$2,Blessings!B10:C15,2,FALSE),"")</f>
        <v>0</v>
      </c>
      <c r="F4" s="265" t="s">
        <v>682</v>
      </c>
      <c r="G4" s="266"/>
      <c r="H4" s="266"/>
      <c r="I4" s="267"/>
      <c r="J4" s="177">
        <f>Y33</f>
        <v>0</v>
      </c>
      <c r="K4" s="178">
        <f>E43</f>
        <v>0</v>
      </c>
      <c r="M4" s="248" t="str">
        <f>IFERROR(IF(Z33&gt;Y33,"You exceeded your budget!",""),"")</f>
        <v/>
      </c>
      <c r="N4" s="248"/>
      <c r="O4" s="248"/>
      <c r="P4" s="187"/>
    </row>
    <row r="5" spans="1:45" s="6" customFormat="1" ht="15" customHeight="1" thickBot="1" x14ac:dyDescent="0.3">
      <c r="F5" s="265" t="s">
        <v>962</v>
      </c>
      <c r="G5" s="266"/>
      <c r="H5" s="266"/>
      <c r="I5" s="267"/>
      <c r="J5" s="179">
        <f>Y34</f>
        <v>0</v>
      </c>
      <c r="K5" s="180">
        <f>Z34</f>
        <v>0</v>
      </c>
      <c r="M5" s="248" t="str">
        <f>IFERROR(IF(Z34&gt;Y34,"You exceeded your available skill points!",""),"")</f>
        <v/>
      </c>
      <c r="N5" s="248"/>
      <c r="O5" s="248"/>
      <c r="P5" s="187"/>
    </row>
    <row r="6" spans="1:45" s="6" customFormat="1" ht="15" customHeight="1" x14ac:dyDescent="0.25">
      <c r="B6" s="257" t="s">
        <v>0</v>
      </c>
      <c r="C6" s="258"/>
      <c r="D6" s="184"/>
      <c r="F6" s="259" t="s">
        <v>704</v>
      </c>
      <c r="G6" s="260"/>
      <c r="H6" s="260"/>
      <c r="I6" s="261"/>
      <c r="J6" s="179">
        <f t="shared" ref="J6:K8" si="0">V33</f>
        <v>0</v>
      </c>
      <c r="K6" s="180">
        <f t="shared" si="0"/>
        <v>0</v>
      </c>
      <c r="L6"/>
      <c r="M6" s="248" t="str">
        <f ca="1">IFERROR(IF(AN11&gt;AI13,"Too many Big Guys! ",""),"") &amp; IF(COUNTIF(V11:V28, TRUE) &gt; 0, "Match players to selected team! ", "") &amp; IF(COUNTIF(W11:X226, TRUE) &gt; 0, "Match skill with player and upgrade!", "")</f>
        <v/>
      </c>
      <c r="N6" s="248"/>
      <c r="O6" s="248"/>
      <c r="P6" s="187"/>
    </row>
    <row r="7" spans="1:45" s="6" customFormat="1" ht="15" customHeight="1" x14ac:dyDescent="0.25">
      <c r="B7" s="268" t="s">
        <v>1</v>
      </c>
      <c r="C7" s="269"/>
      <c r="D7" s="185"/>
      <c r="F7" s="259" t="s">
        <v>963</v>
      </c>
      <c r="G7" s="260"/>
      <c r="H7" s="260"/>
      <c r="I7" s="261"/>
      <c r="J7" s="181">
        <f t="shared" si="0"/>
        <v>0</v>
      </c>
      <c r="K7" s="180">
        <f t="shared" si="0"/>
        <v>0</v>
      </c>
      <c r="M7" s="248" t="str">
        <f>IFERROR(IF($AS$11,"A Star Player can only be selected once! ",""),"") &amp; IF(_xlfn.XOR(ISNUMBER(SEARCH(":", C27)), ISNUMBER(SEARCH(":", C28))), "This Star Player comes as a pair!", "")</f>
        <v/>
      </c>
      <c r="N7" s="248"/>
      <c r="O7" s="248"/>
      <c r="P7" s="248"/>
    </row>
    <row r="8" spans="1:45" s="6" customFormat="1" ht="15" customHeight="1" thickBot="1" x14ac:dyDescent="0.3">
      <c r="B8" s="270" t="s">
        <v>775</v>
      </c>
      <c r="C8" s="271"/>
      <c r="D8" s="186"/>
      <c r="F8" s="262" t="s">
        <v>968</v>
      </c>
      <c r="G8" s="263"/>
      <c r="H8" s="263"/>
      <c r="I8" s="264"/>
      <c r="J8" s="182">
        <f t="shared" si="0"/>
        <v>0</v>
      </c>
      <c r="K8" s="183">
        <f t="shared" si="0"/>
        <v>0</v>
      </c>
      <c r="L8" s="290"/>
      <c r="M8" s="248" t="str">
        <f>IF(OR(W33&gt;V33,W34&gt;V34,W35&gt;V35),"Too many (stacked) skills! ","") &amp; IF(AND(B38&gt;=1,COUNTIF(M11:P26,"Sneaky Git")&gt;=1),"No Bribe and Sneaky Git! ","")</f>
        <v/>
      </c>
      <c r="N8" s="248"/>
      <c r="O8" s="248"/>
      <c r="P8" s="248"/>
    </row>
    <row r="9" spans="1:45" s="6" customFormat="1" ht="15" customHeight="1" thickBot="1" x14ac:dyDescent="0.3">
      <c r="B9" s="13"/>
      <c r="L9" s="291"/>
      <c r="M9" s="248" t="str">
        <f>IF(OR(AND(OR(AND(C27&lt;&gt;"",C27&lt;&gt;"Select Star Player"),AND(C28&lt;&gt;"",C28&lt;&gt;"Select Star Player")),ISNUMBER(FIND("Ares",J2))=FALSE),AND(AND(AND(C27&lt;&gt;"",C27&lt;&gt;"Select Star Player"),AND(C28&lt;&gt;"",C28&lt;&gt;"Select Star Player")),ISNUMBER(FIND("Ares",J2))=FALSE)),"Select the Ares blessing to field a Star Player!","")</f>
        <v/>
      </c>
      <c r="N9" s="248"/>
      <c r="O9" s="248"/>
      <c r="P9" s="248"/>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1" t="s">
        <v>688</v>
      </c>
      <c r="D10" s="327"/>
      <c r="E10" s="190" t="s">
        <v>4</v>
      </c>
      <c r="F10" s="190" t="s">
        <v>5</v>
      </c>
      <c r="G10" s="190" t="s">
        <v>6</v>
      </c>
      <c r="H10" s="190" t="s">
        <v>7</v>
      </c>
      <c r="I10" s="190" t="s">
        <v>8</v>
      </c>
      <c r="J10" s="311" t="s">
        <v>291</v>
      </c>
      <c r="K10" s="312"/>
      <c r="L10" s="191" t="s">
        <v>715</v>
      </c>
      <c r="M10" s="189" t="s">
        <v>735</v>
      </c>
      <c r="N10" s="190" t="s">
        <v>15</v>
      </c>
      <c r="O10" s="189" t="s">
        <v>736</v>
      </c>
      <c r="P10" s="192" t="s">
        <v>15</v>
      </c>
      <c r="Q10" s="6"/>
      <c r="R10" s="7"/>
      <c r="S10" s="82" t="s">
        <v>281</v>
      </c>
      <c r="T10" s="83" t="s">
        <v>282</v>
      </c>
      <c r="U10" s="84" t="s">
        <v>490</v>
      </c>
      <c r="V10" s="83" t="s">
        <v>978</v>
      </c>
      <c r="W10" s="300" t="s">
        <v>979</v>
      </c>
      <c r="X10" s="300"/>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1"/>
      <c r="D11" s="322"/>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09" t="str">
        <f>IF(N11&lt;&gt;"",CONCATENATE(IF(U11="None","",U11&amp;", "),N11,IF(P11="","",", "),P11),U11)</f>
        <v/>
      </c>
      <c r="K11" s="310"/>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7"/>
      <c r="D12" s="318"/>
      <c r="E12" s="16" t="str">
        <f t="shared" si="1"/>
        <v/>
      </c>
      <c r="F12" s="16" t="str">
        <f t="shared" si="2"/>
        <v/>
      </c>
      <c r="G12" s="18" t="str">
        <f t="shared" si="3"/>
        <v/>
      </c>
      <c r="H12" s="18" t="str">
        <f t="shared" si="4"/>
        <v/>
      </c>
      <c r="I12" s="18" t="str">
        <f t="shared" si="5"/>
        <v/>
      </c>
      <c r="J12" s="313" t="str">
        <f t="shared" ref="J12:J26" si="11">IF(N12&lt;&gt;"",CONCATENATE(IF(U12="None","",U12&amp;", "),N12,IF(P12="","",", "),P12),U12)</f>
        <v/>
      </c>
      <c r="K12" s="314"/>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7"/>
      <c r="D13" s="318"/>
      <c r="E13" s="16" t="str">
        <f t="shared" si="1"/>
        <v/>
      </c>
      <c r="F13" s="16" t="str">
        <f t="shared" si="2"/>
        <v/>
      </c>
      <c r="G13" s="18" t="str">
        <f t="shared" si="3"/>
        <v/>
      </c>
      <c r="H13" s="18" t="str">
        <f t="shared" si="4"/>
        <v/>
      </c>
      <c r="I13" s="18" t="str">
        <f t="shared" si="5"/>
        <v/>
      </c>
      <c r="J13" s="282" t="str">
        <f t="shared" si="11"/>
        <v/>
      </c>
      <c r="K13" s="283"/>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7"/>
      <c r="D14" s="318"/>
      <c r="E14" s="16" t="str">
        <f t="shared" si="1"/>
        <v/>
      </c>
      <c r="F14" s="16" t="str">
        <f t="shared" si="2"/>
        <v/>
      </c>
      <c r="G14" s="18" t="str">
        <f t="shared" si="3"/>
        <v/>
      </c>
      <c r="H14" s="18" t="str">
        <f t="shared" si="4"/>
        <v/>
      </c>
      <c r="I14" s="18" t="str">
        <f t="shared" si="5"/>
        <v/>
      </c>
      <c r="J14" s="282" t="str">
        <f t="shared" si="11"/>
        <v/>
      </c>
      <c r="K14" s="283"/>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7"/>
      <c r="D15" s="318"/>
      <c r="E15" s="16" t="str">
        <f t="shared" si="1"/>
        <v/>
      </c>
      <c r="F15" s="16" t="str">
        <f t="shared" si="2"/>
        <v/>
      </c>
      <c r="G15" s="18" t="str">
        <f t="shared" si="3"/>
        <v/>
      </c>
      <c r="H15" s="18" t="str">
        <f t="shared" si="4"/>
        <v/>
      </c>
      <c r="I15" s="18" t="str">
        <f t="shared" si="5"/>
        <v/>
      </c>
      <c r="J15" s="282" t="str">
        <f t="shared" si="11"/>
        <v/>
      </c>
      <c r="K15" s="283"/>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7"/>
      <c r="D16" s="318"/>
      <c r="E16" s="16" t="str">
        <f t="shared" si="1"/>
        <v/>
      </c>
      <c r="F16" s="16" t="str">
        <f t="shared" si="2"/>
        <v/>
      </c>
      <c r="G16" s="18" t="str">
        <f t="shared" si="3"/>
        <v/>
      </c>
      <c r="H16" s="18" t="str">
        <f t="shared" si="4"/>
        <v/>
      </c>
      <c r="I16" s="18" t="str">
        <f t="shared" si="5"/>
        <v/>
      </c>
      <c r="J16" s="282" t="str">
        <f t="shared" si="11"/>
        <v/>
      </c>
      <c r="K16" s="283"/>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7"/>
      <c r="D17" s="318"/>
      <c r="E17" s="16" t="str">
        <f t="shared" si="1"/>
        <v/>
      </c>
      <c r="F17" s="16" t="str">
        <f t="shared" si="2"/>
        <v/>
      </c>
      <c r="G17" s="18" t="str">
        <f t="shared" si="3"/>
        <v/>
      </c>
      <c r="H17" s="18" t="str">
        <f t="shared" si="4"/>
        <v/>
      </c>
      <c r="I17" s="18" t="str">
        <f t="shared" si="5"/>
        <v/>
      </c>
      <c r="J17" s="282" t="str">
        <f t="shared" si="11"/>
        <v/>
      </c>
      <c r="K17" s="283"/>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7"/>
      <c r="D18" s="318"/>
      <c r="E18" s="16" t="str">
        <f t="shared" si="1"/>
        <v/>
      </c>
      <c r="F18" s="16" t="str">
        <f t="shared" si="2"/>
        <v/>
      </c>
      <c r="G18" s="18" t="str">
        <f t="shared" si="3"/>
        <v/>
      </c>
      <c r="H18" s="18" t="str">
        <f t="shared" si="4"/>
        <v/>
      </c>
      <c r="I18" s="18" t="str">
        <f t="shared" si="5"/>
        <v/>
      </c>
      <c r="J18" s="282" t="str">
        <f t="shared" si="11"/>
        <v/>
      </c>
      <c r="K18" s="283"/>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7"/>
      <c r="D19" s="318"/>
      <c r="E19" s="16" t="str">
        <f t="shared" si="1"/>
        <v/>
      </c>
      <c r="F19" s="16" t="str">
        <f t="shared" si="2"/>
        <v/>
      </c>
      <c r="G19" s="18" t="str">
        <f t="shared" si="3"/>
        <v/>
      </c>
      <c r="H19" s="18" t="str">
        <f t="shared" si="4"/>
        <v/>
      </c>
      <c r="I19" s="18" t="str">
        <f t="shared" si="5"/>
        <v/>
      </c>
      <c r="J19" s="282" t="str">
        <f t="shared" si="11"/>
        <v/>
      </c>
      <c r="K19" s="283"/>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7"/>
      <c r="D20" s="318"/>
      <c r="E20" s="16" t="str">
        <f t="shared" si="1"/>
        <v/>
      </c>
      <c r="F20" s="16" t="str">
        <f t="shared" si="2"/>
        <v/>
      </c>
      <c r="G20" s="18" t="str">
        <f t="shared" si="3"/>
        <v/>
      </c>
      <c r="H20" s="18" t="str">
        <f t="shared" si="4"/>
        <v/>
      </c>
      <c r="I20" s="18" t="str">
        <f t="shared" si="5"/>
        <v/>
      </c>
      <c r="J20" s="282" t="str">
        <f t="shared" si="11"/>
        <v/>
      </c>
      <c r="K20" s="283"/>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7"/>
      <c r="D21" s="318"/>
      <c r="E21" s="16" t="str">
        <f t="shared" si="1"/>
        <v/>
      </c>
      <c r="F21" s="16" t="str">
        <f t="shared" si="2"/>
        <v/>
      </c>
      <c r="G21" s="18" t="str">
        <f t="shared" si="3"/>
        <v/>
      </c>
      <c r="H21" s="18" t="str">
        <f t="shared" si="4"/>
        <v/>
      </c>
      <c r="I21" s="18" t="str">
        <f t="shared" si="5"/>
        <v/>
      </c>
      <c r="J21" s="282" t="str">
        <f t="shared" si="11"/>
        <v/>
      </c>
      <c r="K21" s="283"/>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7"/>
      <c r="D22" s="318"/>
      <c r="E22" s="16" t="str">
        <f t="shared" si="1"/>
        <v/>
      </c>
      <c r="F22" s="16" t="str">
        <f t="shared" si="2"/>
        <v/>
      </c>
      <c r="G22" s="18" t="str">
        <f t="shared" si="3"/>
        <v/>
      </c>
      <c r="H22" s="18" t="str">
        <f t="shared" si="4"/>
        <v/>
      </c>
      <c r="I22" s="18" t="str">
        <f t="shared" si="5"/>
        <v/>
      </c>
      <c r="J22" s="282" t="str">
        <f t="shared" si="11"/>
        <v/>
      </c>
      <c r="K22" s="283"/>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7"/>
      <c r="D23" s="318"/>
      <c r="E23" s="16" t="str">
        <f t="shared" si="1"/>
        <v/>
      </c>
      <c r="F23" s="16" t="str">
        <f t="shared" si="2"/>
        <v/>
      </c>
      <c r="G23" s="18" t="str">
        <f t="shared" si="3"/>
        <v/>
      </c>
      <c r="H23" s="18" t="str">
        <f t="shared" si="4"/>
        <v/>
      </c>
      <c r="I23" s="18" t="str">
        <f t="shared" si="5"/>
        <v/>
      </c>
      <c r="J23" s="282" t="str">
        <f t="shared" si="11"/>
        <v/>
      </c>
      <c r="K23" s="283"/>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7"/>
      <c r="D24" s="318"/>
      <c r="E24" s="16" t="str">
        <f t="shared" si="1"/>
        <v/>
      </c>
      <c r="F24" s="16" t="str">
        <f t="shared" si="2"/>
        <v/>
      </c>
      <c r="G24" s="18" t="str">
        <f t="shared" si="3"/>
        <v/>
      </c>
      <c r="H24" s="18" t="str">
        <f t="shared" si="4"/>
        <v/>
      </c>
      <c r="I24" s="18" t="str">
        <f t="shared" si="5"/>
        <v/>
      </c>
      <c r="J24" s="282" t="str">
        <f t="shared" si="11"/>
        <v/>
      </c>
      <c r="K24" s="283"/>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7"/>
      <c r="D25" s="318"/>
      <c r="E25" s="16" t="str">
        <f t="shared" si="1"/>
        <v/>
      </c>
      <c r="F25" s="16" t="str">
        <f t="shared" si="2"/>
        <v/>
      </c>
      <c r="G25" s="18" t="str">
        <f t="shared" si="3"/>
        <v/>
      </c>
      <c r="H25" s="18" t="str">
        <f t="shared" si="4"/>
        <v/>
      </c>
      <c r="I25" s="18" t="str">
        <f t="shared" si="5"/>
        <v/>
      </c>
      <c r="J25" s="323" t="str">
        <f t="shared" si="11"/>
        <v/>
      </c>
      <c r="K25" s="324"/>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19"/>
      <c r="D26" s="320"/>
      <c r="E26" s="57" t="str">
        <f t="shared" si="1"/>
        <v/>
      </c>
      <c r="F26" s="57" t="str">
        <f t="shared" si="2"/>
        <v/>
      </c>
      <c r="G26" s="58" t="str">
        <f t="shared" si="3"/>
        <v/>
      </c>
      <c r="H26" s="58" t="str">
        <f t="shared" si="4"/>
        <v/>
      </c>
      <c r="I26" s="58" t="str">
        <f t="shared" si="5"/>
        <v/>
      </c>
      <c r="J26" s="325" t="str">
        <f t="shared" si="11"/>
        <v/>
      </c>
      <c r="K26" s="326"/>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1" t="s">
        <v>768</v>
      </c>
      <c r="D27" s="322"/>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8" t="str">
        <f>IFERROR(VLOOKUP(C27,StarplayerList,9,FALSE),"")</f>
        <v/>
      </c>
      <c r="K27" s="279"/>
      <c r="L27" s="202" t="str">
        <f>IFERROR(1000*VLOOKUP(C27,StarplayerList,3,FALSE),"")</f>
        <v/>
      </c>
      <c r="M27" s="292" t="str">
        <f>IFERROR(VLOOKUP(C27,StarplayerList,10,FALSE),"")</f>
        <v/>
      </c>
      <c r="N27" s="293"/>
      <c r="O27" s="296" t="str">
        <f>IFERROR(VLOOKUP(C27,StarplayerList,12,FALSE),"")</f>
        <v/>
      </c>
      <c r="P27" s="297"/>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0" t="s">
        <v>768</v>
      </c>
      <c r="D28" s="331"/>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0" t="str">
        <f>IFERROR(VLOOKUP(C28,StarplayerList,9,FALSE),"")</f>
        <v/>
      </c>
      <c r="K28" s="281"/>
      <c r="L28" s="203" t="str">
        <f>IFERROR(1000*VLOOKUP(C28,StarplayerList,3,FALSE),"")</f>
        <v/>
      </c>
      <c r="M28" s="294" t="str">
        <f>IFERROR(VLOOKUP(C28,StarplayerList,10,FALSE),"")</f>
        <v/>
      </c>
      <c r="N28" s="295"/>
      <c r="O28" s="298" t="str">
        <f>IFERROR(VLOOKUP(C28,StarplayerList,11,FALSE),"")</f>
        <v/>
      </c>
      <c r="P28" s="299"/>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4" t="s">
        <v>776</v>
      </c>
      <c r="C30" s="345"/>
      <c r="D30" s="346"/>
      <c r="E30" s="351">
        <f>Y33-E43</f>
        <v>0</v>
      </c>
      <c r="F30" s="352"/>
      <c r="G30" s="353"/>
      <c r="H30" s="54"/>
      <c r="I30" s="54"/>
      <c r="J30" s="288" t="s">
        <v>528</v>
      </c>
      <c r="K30" s="289"/>
      <c r="L30" s="6"/>
      <c r="M30" s="332" t="s">
        <v>767</v>
      </c>
      <c r="N30" s="333"/>
      <c r="O30" s="333"/>
      <c r="P30" s="334"/>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5">
        <f>B31*D31</f>
        <v>0</v>
      </c>
      <c r="F31" s="255"/>
      <c r="G31" s="256"/>
      <c r="H31" s="54"/>
      <c r="I31" s="54"/>
      <c r="J31" s="274" t="str">
        <f>IFERROR(VLOOKUP(AI11,Special_Rules,2,TRUE),"")</f>
        <v/>
      </c>
      <c r="K31" s="275"/>
      <c r="L31" s="6"/>
      <c r="M31" s="335" t="str">
        <f>IFERROR(VLOOKUP(C27,StarplayerList,11,FALSE),"") &amp; " " &amp; CHAR(10) &amp;
IFERROR(VLOOKUP(C28,StarplayerList,10,FALSE),"")</f>
        <v xml:space="preserve"> 
</v>
      </c>
      <c r="N31" s="336"/>
      <c r="O31" s="336"/>
      <c r="P31" s="337"/>
      <c r="Q31" s="6"/>
      <c r="R31" s="6"/>
      <c r="S31" s="137" t="s">
        <v>739</v>
      </c>
      <c r="T31" s="136"/>
      <c r="U31" s="172" t="s">
        <v>488</v>
      </c>
      <c r="V31" s="160" t="str">
        <f>D3</f>
        <v>0</v>
      </c>
      <c r="W31" s="172" t="s">
        <v>746</v>
      </c>
      <c r="X31" s="285" t="str">
        <f>J2</f>
        <v>Spartan (no effect)</v>
      </c>
      <c r="Y31" s="285"/>
      <c r="Z31" s="285"/>
      <c r="AA31" s="286"/>
      <c r="AB31" s="286"/>
      <c r="AC31" s="286"/>
      <c r="AD31" s="287"/>
      <c r="AN31" s="6"/>
      <c r="AO31" s="6"/>
      <c r="AP31" s="6"/>
      <c r="AQ31" s="107">
        <v>20</v>
      </c>
      <c r="AR31" s="66" t="str">
        <f t="shared" si="24"/>
        <v/>
      </c>
      <c r="AS31" s="68" t="b">
        <f t="shared" si="25"/>
        <v>0</v>
      </c>
    </row>
    <row r="32" spans="1:45" ht="14.45" customHeight="1" x14ac:dyDescent="0.25">
      <c r="B32" s="55">
        <v>0</v>
      </c>
      <c r="C32" s="195" t="s">
        <v>11</v>
      </c>
      <c r="D32" s="196">
        <v>10000</v>
      </c>
      <c r="E32" s="255">
        <f>B32*D32</f>
        <v>0</v>
      </c>
      <c r="F32" s="255"/>
      <c r="G32" s="256"/>
      <c r="H32" s="54"/>
      <c r="I32" s="54"/>
      <c r="J32" s="274"/>
      <c r="K32" s="275"/>
      <c r="L32" s="113"/>
      <c r="M32" s="338"/>
      <c r="N32" s="339"/>
      <c r="O32" s="339"/>
      <c r="P32" s="340"/>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5">
        <f>B33*D33</f>
        <v>0</v>
      </c>
      <c r="F33" s="255"/>
      <c r="G33" s="256"/>
      <c r="H33" s="54"/>
      <c r="I33" s="54"/>
      <c r="J33" s="274"/>
      <c r="K33" s="275"/>
      <c r="L33" s="113"/>
      <c r="M33" s="338"/>
      <c r="N33" s="339"/>
      <c r="O33" s="339"/>
      <c r="P33" s="340"/>
      <c r="Q33" s="6"/>
      <c r="R33" s="6"/>
      <c r="S33" s="73" t="s">
        <v>738</v>
      </c>
      <c r="T33" s="76"/>
      <c r="U33" s="167" t="s">
        <v>281</v>
      </c>
      <c r="V33" s="168">
        <f>IFERROR(VLOOKUP(V31,Blessings!$A$2:$E$7,3,FALSE) + 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1">
        <f>B34*D34</f>
        <v>0</v>
      </c>
      <c r="F34" s="301"/>
      <c r="G34" s="302"/>
      <c r="H34" s="54"/>
      <c r="I34" s="54"/>
      <c r="J34" s="274" t="str">
        <f>IFERROR(IFERROR(VLOOKUP(LEFT($AI$11,3),SpecialRules,3,FALSE),"") &amp; IFERROR(VLOOKUP(MID($AI$11,4,3),SpecialRules,3,FALSE),""),"")</f>
        <v/>
      </c>
      <c r="K34" s="275"/>
      <c r="L34" s="113"/>
      <c r="M34" s="338"/>
      <c r="N34" s="339"/>
      <c r="O34" s="339"/>
      <c r="P34" s="340"/>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5">
        <f t="shared" ref="E35:E36" si="27">B35*D35</f>
        <v>0</v>
      </c>
      <c r="F35" s="255"/>
      <c r="G35" s="256"/>
      <c r="H35" s="24"/>
      <c r="I35" s="24"/>
      <c r="J35" s="274"/>
      <c r="K35" s="275"/>
      <c r="L35" s="113"/>
      <c r="M35" s="338"/>
      <c r="N35" s="339"/>
      <c r="O35" s="339"/>
      <c r="P35" s="340"/>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5">
        <f t="shared" si="27"/>
        <v>0</v>
      </c>
      <c r="F36" s="255"/>
      <c r="G36" s="256"/>
      <c r="H36" s="24"/>
      <c r="I36" s="24"/>
      <c r="J36" s="274"/>
      <c r="K36" s="275"/>
      <c r="L36" s="113"/>
      <c r="M36" s="338"/>
      <c r="N36" s="339"/>
      <c r="O36" s="339"/>
      <c r="P36" s="340"/>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5">
        <f>B37*D37</f>
        <v>0</v>
      </c>
      <c r="F37" s="255"/>
      <c r="G37" s="256"/>
      <c r="H37" s="24"/>
      <c r="I37" s="24"/>
      <c r="J37" s="274"/>
      <c r="K37" s="275"/>
      <c r="L37" s="113"/>
      <c r="M37" s="338"/>
      <c r="N37" s="339"/>
      <c r="O37" s="339"/>
      <c r="P37" s="340"/>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5">
        <f>B38*D38</f>
        <v>0</v>
      </c>
      <c r="F38" s="255"/>
      <c r="G38" s="256"/>
      <c r="H38" s="24"/>
      <c r="I38" s="24"/>
      <c r="J38" s="274"/>
      <c r="K38" s="275"/>
      <c r="L38" s="113"/>
      <c r="M38" s="338"/>
      <c r="N38" s="339"/>
      <c r="O38" s="339"/>
      <c r="P38" s="340"/>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5">
        <f t="shared" ref="E39" si="28">B39*D39</f>
        <v>0</v>
      </c>
      <c r="F39" s="255"/>
      <c r="G39" s="256"/>
      <c r="H39" s="24"/>
      <c r="J39" s="274"/>
      <c r="K39" s="275"/>
      <c r="L39" s="6"/>
      <c r="M39" s="338"/>
      <c r="N39" s="339"/>
      <c r="O39" s="339"/>
      <c r="P39" s="340"/>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49">
        <f>B40*D40</f>
        <v>0</v>
      </c>
      <c r="F40" s="349"/>
      <c r="G40" s="350"/>
      <c r="H40" s="24"/>
      <c r="I40" s="24"/>
      <c r="J40" s="276"/>
      <c r="K40" s="277"/>
      <c r="L40" s="6"/>
      <c r="M40" s="341"/>
      <c r="N40" s="342"/>
      <c r="O40" s="342"/>
      <c r="P40" s="343"/>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5">
        <f>IF(B41&lt;1,B41*50000,(B41-1)*100000+50000)</f>
        <v>0</v>
      </c>
      <c r="F41" s="255"/>
      <c r="G41" s="256"/>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5">
        <f>B42*D42</f>
        <v>0</v>
      </c>
      <c r="F42" s="255"/>
      <c r="G42" s="256"/>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4" t="s">
        <v>677</v>
      </c>
      <c r="C43" s="345"/>
      <c r="D43" s="346"/>
      <c r="E43" s="347">
        <f>SUM(L11:L28)+SUM(E31:G42)</f>
        <v>0</v>
      </c>
      <c r="F43" s="347"/>
      <c r="G43" s="348"/>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8" t="str">
        <f>IF(D7&lt;&gt;"",D7 &amp; IF(D8&lt;&gt;""," (" &amp; D8 &amp; ")",""),"") &amp; IF(D6&lt;&gt;""," - " &amp; D6,"") &amp; IF(AND(D2&lt;&gt;"",D2&lt;&gt;"Select Team")," [" &amp; D2 &amp; "]","")</f>
        <v/>
      </c>
      <c r="C45" s="328"/>
      <c r="D45" s="328"/>
      <c r="E45" s="328"/>
      <c r="F45" s="328"/>
      <c r="G45" s="328"/>
      <c r="H45" s="328"/>
      <c r="I45" s="328"/>
      <c r="J45" s="328"/>
      <c r="K45" s="328"/>
      <c r="L45" s="328"/>
      <c r="M45" s="328"/>
      <c r="N45" s="328"/>
      <c r="O45" s="328"/>
      <c r="P45" s="328"/>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29" t="str">
        <f>IF(AND(SquadName&lt;&gt;"",SquadName&lt;&gt;"Enter Squad Name"),"Squad "&amp; SquadName,"")</f>
        <v/>
      </c>
      <c r="C46" s="329"/>
      <c r="D46" s="329"/>
      <c r="E46" s="329"/>
      <c r="F46" s="329"/>
      <c r="G46" s="329"/>
      <c r="H46" s="329"/>
      <c r="I46" s="329"/>
      <c r="J46" s="329"/>
      <c r="K46" s="329"/>
      <c r="L46" s="329"/>
      <c r="M46" s="329"/>
      <c r="N46" s="329"/>
      <c r="O46" s="329"/>
      <c r="P46" s="329"/>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26" priority="23">
      <formula>IF(AND($D$7&lt;&gt;"",$B$34=#REF!),TRUE,FALSE)</formula>
    </cfRule>
  </conditionalFormatting>
  <conditionalFormatting sqref="B41:B43 E41:E43">
    <cfRule type="expression" dxfId="25" priority="24">
      <formula>IF(AND($E$43&gt;0,$E$43=#REF!*1000),TRUE,FALSE)</formula>
    </cfRule>
  </conditionalFormatting>
  <conditionalFormatting sqref="B30:G30">
    <cfRule type="expression" dxfId="24" priority="11">
      <formula>IF($E$30&lt;0, TRUE, FALSE)</formula>
    </cfRule>
  </conditionalFormatting>
  <conditionalFormatting sqref="B40:G40">
    <cfRule type="expression" dxfId="23" priority="17">
      <formula>IF($C$40="",TRUE,FALSE)</formula>
    </cfRule>
  </conditionalFormatting>
  <conditionalFormatting sqref="B41:G41">
    <cfRule type="expression" dxfId="22" priority="21">
      <formula>IF($AI$14="No", TRUE, FALSE)</formula>
    </cfRule>
  </conditionalFormatting>
  <conditionalFormatting sqref="B28:P28">
    <cfRule type="expression" dxfId="21" priority="1">
      <formula>$D$3&lt;5</formula>
    </cfRule>
  </conditionalFormatting>
  <conditionalFormatting sqref="B45:P45">
    <cfRule type="expression" dxfId="20" priority="8">
      <formula>$B$45=""</formula>
    </cfRule>
  </conditionalFormatting>
  <conditionalFormatting sqref="B46:P46">
    <cfRule type="expression" dxfId="19" priority="9">
      <formula>$B$46=""</formula>
    </cfRule>
  </conditionalFormatting>
  <conditionalFormatting sqref="C11:C28">
    <cfRule type="expression" dxfId="18" priority="20">
      <formula>OR($M$3&lt;&gt;"", $M$6&lt;&gt;"", $M$7&lt;&gt;"")</formula>
    </cfRule>
  </conditionalFormatting>
  <conditionalFormatting sqref="C27:C28">
    <cfRule type="expression" dxfId="17" priority="19">
      <formula>$AS$11</formula>
    </cfRule>
  </conditionalFormatting>
  <conditionalFormatting sqref="C11:D26">
    <cfRule type="expression" dxfId="16" priority="5">
      <formula>AND(C11&lt;&gt;"", ISERROR(MATCH(C11, $AL$11:$AL$27, 0)))</formula>
    </cfRule>
  </conditionalFormatting>
  <conditionalFormatting sqref="C27:D28">
    <cfRule type="expression" dxfId="15" priority="4">
      <formula>AND(C27&lt;&gt;"", ISERROR(MATCH(C27, $AR$11:$AR$41, 0)))</formula>
    </cfRule>
  </conditionalFormatting>
  <conditionalFormatting sqref="E11:E26">
    <cfRule type="expression" dxfId="14" priority="16">
      <formula>IF(E11&lt;&gt;"",IF(OR($E11&lt;1,E11&gt;9),TRUE,FALSE),FALSE)</formula>
    </cfRule>
  </conditionalFormatting>
  <conditionalFormatting sqref="F11:F26">
    <cfRule type="expression" dxfId="13" priority="15">
      <formula>IF($F11&lt;&gt;"",IF(OR($F11&lt;1,$F11&gt;8),TRUE,FALSE),FALSE)</formula>
    </cfRule>
  </conditionalFormatting>
  <conditionalFormatting sqref="G11:G26">
    <cfRule type="expression" dxfId="12" priority="14">
      <formula>IF($G11&lt;&gt;"",IF(OR($G11&lt;1,$G11&gt;6),TRUE,FALSE),FALSE)</formula>
    </cfRule>
  </conditionalFormatting>
  <conditionalFormatting sqref="H11:H26">
    <cfRule type="expression" dxfId="11" priority="13">
      <formula>IF(AND($H11&lt;&gt;"-",$H11&lt;&gt;""),IF(OR($H11&lt;1,$H11&gt;6),TRUE,FALSE),FALSE)</formula>
    </cfRule>
  </conditionalFormatting>
  <conditionalFormatting sqref="I11:I26">
    <cfRule type="expression" dxfId="10" priority="12">
      <formula>IF($I11&lt;&gt;"",IF(OR($I11&lt;3,$I11&gt;11),TRUE,FALSE),FALSE)</formula>
    </cfRule>
  </conditionalFormatting>
  <conditionalFormatting sqref="J2">
    <cfRule type="expression" dxfId="9" priority="7">
      <formula>$M$9&lt;&gt;""</formula>
    </cfRule>
  </conditionalFormatting>
  <conditionalFormatting sqref="K4:K8">
    <cfRule type="expression" dxfId="8" priority="6">
      <formula>$K4&gt;$J4</formula>
    </cfRule>
  </conditionalFormatting>
  <conditionalFormatting sqref="M11:P26">
    <cfRule type="expression" dxfId="7" priority="18">
      <formula>OR($M$2&lt;&gt;"",$M$8&lt;&gt;"")</formula>
    </cfRule>
  </conditionalFormatting>
  <conditionalFormatting sqref="M30:P43">
    <cfRule type="expression" dxfId="6" priority="10">
      <formula>AND($M$27="",$M$28="")</formula>
    </cfRule>
  </conditionalFormatting>
  <conditionalFormatting sqref="N11:N26">
    <cfRule type="expression" dxfId="5" priority="3">
      <formula>W11</formula>
    </cfRule>
  </conditionalFormatting>
  <conditionalFormatting sqref="P2 M2:M6 P6 M7:P9">
    <cfRule type="notContainsBlanks" dxfId="4" priority="22">
      <formula>LEN(TRIM(M2))&gt;0</formula>
    </cfRule>
  </conditionalFormatting>
  <conditionalFormatting sqref="P11:P26">
    <cfRule type="expression" dxfId="3" priority="2">
      <formula>X11</formula>
    </cfRule>
  </conditionalFormatting>
  <dataValidations count="11">
    <dataValidation type="list" allowBlank="1" showInputMessage="1" showErrorMessage="1" sqref="C27:D28" xr:uid="{3C12DF16-46A6-4F4E-8E8E-9124455E533C}">
      <formula1>$AR$11:$AR$33</formula1>
    </dataValidation>
    <dataValidation type="list" allowBlank="1" showInputMessage="1" showErrorMessage="1" sqref="O11:O26 M11:M26" xr:uid="{0408AC51-1DB0-47C4-97CF-DA2D38D51602}">
      <formula1>$S$32:$S$34</formula1>
    </dataValidation>
    <dataValidation type="list" allowBlank="1" showInputMessage="1" showErrorMessage="1" sqref="C11:C26" xr:uid="{C8F74C80-058F-4D16-9125-0E3DBFF40BEC}">
      <formula1>$AL$11:$AL$27</formula1>
    </dataValidation>
    <dataValidation type="list" allowBlank="1" showInputMessage="1" showErrorMessage="1" sqref="B37" xr:uid="{15E9DD3E-CF38-4620-9779-27C6DDF54B2E}">
      <formula1>$AJ$11:$AJ$13</formula1>
    </dataValidation>
    <dataValidation type="list" allowBlank="1" showInputMessage="1" showErrorMessage="1" sqref="B42 B39:B40 B35:B36" xr:uid="{CBBEAD8A-CF8D-461C-A6C3-77FE2394E582}">
      <formula1>$AJ$11:$AJ$12</formula1>
    </dataValidation>
    <dataValidation type="list" allowBlank="1" showInputMessage="1" showErrorMessage="1" sqref="B31" xr:uid="{4F8DEE53-9A39-4985-B406-420212D6B315}">
      <formula1>$AJ$11:$AJ$19</formula1>
    </dataValidation>
    <dataValidation type="list" allowBlank="1" showInputMessage="1" showErrorMessage="1" sqref="B32 B34" xr:uid="{53FA7B2D-3D7C-44BA-89C1-FDBACB01FCEA}">
      <formula1>$AJ$11:$AJ$17</formula1>
    </dataValidation>
    <dataValidation type="list" allowBlank="1" showInputMessage="1" showErrorMessage="1" sqref="B41 B38" xr:uid="{B95DD738-D796-43B4-90E0-BDB350EF4937}">
      <formula1>$AJ$11:$AJ$14</formula1>
    </dataValidation>
    <dataValidation type="list" allowBlank="1" showInputMessage="1" showErrorMessage="1" sqref="B33" xr:uid="{27017BF6-603E-48CE-A2B7-9D989923B2C9}">
      <formula1>$AJ$11:$AJ$23</formula1>
    </dataValidation>
    <dataValidation type="list" allowBlank="1" showInputMessage="1" showErrorMessage="1" sqref="N11:N26" xr:uid="{50233937-506E-4C65-9769-99A575917BB8}">
      <formula1>INDIRECT(AE11)</formula1>
    </dataValidation>
    <dataValidation type="list" allowBlank="1" showInputMessage="1" showErrorMessage="1" sqref="P11:P26" xr:uid="{ABAC6A99-A44F-47F2-9E0B-DE89A4A81CC6}">
      <formula1>INDIRECT(AF11)</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071ACAA9-515E-46AA-945C-3A21F207E93B}">
          <x14:formula1>
            <xm:f>Blessings!$B$11:$B$15</xm:f>
          </x14:formula1>
          <xm:sqref>J2</xm:sqref>
        </x14:dataValidation>
        <x14:dataValidation type="list" showInputMessage="1" showErrorMessage="1" xr:uid="{64D35A26-AF5F-47FF-818C-D6798F111A85}">
          <x14:formula1>
            <xm:f>Teams!$B$1:$B$31</xm:f>
          </x14:formula1>
          <xm:sqref>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8">
    <pageSetUpPr fitToPage="1"/>
  </sheetPr>
  <dimension ref="A1:N303"/>
  <sheetViews>
    <sheetView showRowColHeaders="0" topLeftCell="C2" zoomScale="80" zoomScaleNormal="80" workbookViewId="0"/>
  </sheetViews>
  <sheetFormatPr defaultColWidth="4.7109375" defaultRowHeight="15" x14ac:dyDescent="0.25"/>
  <cols>
    <col min="1" max="1" width="19.85546875" style="6" hidden="1" customWidth="1"/>
    <col min="2" max="2" width="3" style="6" hidden="1" customWidth="1"/>
    <col min="3" max="3" width="4.7109375" style="6"/>
    <col min="4" max="4" width="7.85546875" style="6" bestFit="1" customWidth="1"/>
    <col min="5" max="5" width="24.28515625" style="6" bestFit="1" customWidth="1"/>
    <col min="6" max="10" width="5.42578125" style="24" bestFit="1" customWidth="1"/>
    <col min="11" max="11" width="46.140625" style="6" bestFit="1" customWidth="1"/>
    <col min="12" max="13" width="5.42578125" style="6" bestFit="1" customWidth="1"/>
    <col min="14" max="14" width="5.42578125" style="13" bestFit="1" customWidth="1"/>
    <col min="15" max="16384" width="4.7109375" style="6"/>
  </cols>
  <sheetData>
    <row r="1" spans="1:14" hidden="1" x14ac:dyDescent="0.25">
      <c r="D1" s="6">
        <v>3</v>
      </c>
      <c r="E1" s="6">
        <v>2</v>
      </c>
      <c r="F1" s="24">
        <v>6</v>
      </c>
      <c r="G1" s="24">
        <v>7</v>
      </c>
      <c r="H1" s="24">
        <v>8</v>
      </c>
      <c r="I1" s="24">
        <v>9</v>
      </c>
      <c r="J1" s="24">
        <v>10</v>
      </c>
      <c r="K1" s="6">
        <v>11</v>
      </c>
      <c r="L1" s="6">
        <v>12</v>
      </c>
      <c r="M1" s="6">
        <v>13</v>
      </c>
      <c r="N1" s="13">
        <v>5</v>
      </c>
    </row>
    <row r="3" spans="1:14" ht="20.45" customHeight="1" x14ac:dyDescent="0.35">
      <c r="A3" s="6" t="s">
        <v>79</v>
      </c>
      <c r="B3" s="6">
        <v>4</v>
      </c>
      <c r="D3" s="354" t="str">
        <f>A3</f>
        <v>Amazon</v>
      </c>
      <c r="E3" s="355"/>
      <c r="F3" s="355"/>
      <c r="G3" s="355"/>
      <c r="H3" s="355"/>
      <c r="I3" s="355"/>
      <c r="J3" s="355"/>
      <c r="K3" s="355"/>
      <c r="L3" s="355"/>
      <c r="M3" s="355"/>
      <c r="N3" s="356"/>
    </row>
    <row r="4" spans="1:14" x14ac:dyDescent="0.25">
      <c r="A4" s="6" t="s">
        <v>79</v>
      </c>
      <c r="D4" s="17" t="s">
        <v>765</v>
      </c>
      <c r="E4" s="17" t="s">
        <v>3</v>
      </c>
      <c r="F4" s="48" t="s">
        <v>4</v>
      </c>
      <c r="G4" s="48" t="s">
        <v>5</v>
      </c>
      <c r="H4" s="48" t="s">
        <v>6</v>
      </c>
      <c r="I4" s="48" t="s">
        <v>7</v>
      </c>
      <c r="J4" s="48" t="s">
        <v>8</v>
      </c>
      <c r="K4" s="17" t="s">
        <v>566</v>
      </c>
      <c r="L4" s="17" t="s">
        <v>578</v>
      </c>
      <c r="M4" s="17" t="s">
        <v>579</v>
      </c>
      <c r="N4" s="51" t="s">
        <v>715</v>
      </c>
    </row>
    <row r="5" spans="1:14" x14ac:dyDescent="0.25">
      <c r="A5" s="6" t="s">
        <v>79</v>
      </c>
      <c r="B5" s="6">
        <v>1</v>
      </c>
      <c r="D5" s="49" t="str">
        <f>CONCATENATE("0-",VLOOKUP(CONCATENATE(VLOOKUP(A5,TEAMS,2,FALSE),TEXT(B5,"00")),PLAYERS,$D$1,FALSE),IF(VLOOKUP(CONCATENATE(VLOOKUP(A5,TEAMS,2,FALSE),TEXT(B5,"00")),PLAYERS,$D$1+1,FALSE)="BG"," *",""))</f>
        <v>0-16</v>
      </c>
      <c r="E5" s="50" t="str">
        <f>VLOOKUP(CONCATENATE(VLOOKUP(A5,TEAMS,2,FALSE),TEXT($B5,"00")),PLAYERS,E$1,FALSE)</f>
        <v>Eagle Warrior Linewoman</v>
      </c>
      <c r="F5" s="48">
        <f>VLOOKUP(CONCATENATE(VLOOKUP(A5,TEAMS,2,FALSE),TEXT($B5,"00")),PLAYERS,F$1,FALSE)</f>
        <v>6</v>
      </c>
      <c r="G5" s="48">
        <f>VLOOKUP(CONCATENATE(VLOOKUP(A5,TEAMS,2,FALSE),TEXT($B5,"00")),PLAYERS,G$1,FALSE)</f>
        <v>3</v>
      </c>
      <c r="H5" s="48" t="str">
        <f>CONCATENATE(VLOOKUP(CONCATENATE(VLOOKUP(A5,TEAMS,2,FALSE),TEXT($B5,"00")),PLAYERS,H$1,FALSE),"+")</f>
        <v>3+</v>
      </c>
      <c r="I5" s="48" t="str">
        <f>CONCATENATE(VLOOKUP(CONCATENATE(VLOOKUP(A5,TEAMS,2,FALSE),TEXT($B5,"00")),PLAYERS,I$1,FALSE),IF(VLOOKUP(CONCATENATE(VLOOKUP(A5,TEAMS,2,FALSE),TEXT($B5,"00")),PLAYERS,I$1,FALSE)="-","","+"))</f>
        <v>4+</v>
      </c>
      <c r="J5" s="48" t="str">
        <f>CONCATENATE(VLOOKUP(CONCATENATE(VLOOKUP(A5,TEAMS,2,FALSE),TEXT($B5,"00")),PLAYERS,J$1,FALSE),"+")</f>
        <v>8+</v>
      </c>
      <c r="K5" s="50" t="str">
        <f>VLOOKUP(CONCATENATE(VLOOKUP(A5,TEAMS,2,FALSE),TEXT($B5,"00")),PLAYERS,K$1,FALSE)</f>
        <v>Dodge</v>
      </c>
      <c r="L5" s="49" t="str">
        <f>VLOOKUP(CONCATENATE(VLOOKUP(A5,TEAMS,2,FALSE),TEXT($B5,"00")),PLAYERS,L$1,FALSE)</f>
        <v>G</v>
      </c>
      <c r="M5" s="49" t="str">
        <f>VLOOKUP(CONCATENATE(VLOOKUP(A5,TEAMS,2,FALSE),TEXT($B5,"00")),PLAYERS,M$1,FALSE)</f>
        <v>AS</v>
      </c>
      <c r="N5" s="48" t="str">
        <f>CONCATENATE(ABS(VLOOKUP(CONCATENATE(VLOOKUP(A5,TEAMS,2,FALSE),TEXT(B5,"00")),PLAYERS,5,FALSE)),"k")</f>
        <v>50k</v>
      </c>
    </row>
    <row r="6" spans="1:14" x14ac:dyDescent="0.25">
      <c r="A6" s="6" t="s">
        <v>79</v>
      </c>
      <c r="B6" s="6">
        <v>2</v>
      </c>
      <c r="D6" s="49" t="str">
        <f>CONCATENATE("0-",VLOOKUP(CONCATENATE(VLOOKUP(A6,TEAMS,2,FALSE),TEXT(B6,"00")),PLAYERS,$D$1,FALSE),IF(VLOOKUP(CONCATENATE(VLOOKUP(A6,TEAMS,2,FALSE),TEXT(B6,"00")),PLAYERS,$D$1+1,FALSE)="BG"," *",""))</f>
        <v>0-2</v>
      </c>
      <c r="E6" s="50" t="str">
        <f>VLOOKUP(CONCATENATE(VLOOKUP(A6,TEAMS,2,FALSE),TEXT($B6,"00")),PLAYERS,E$1,FALSE)</f>
        <v>Python Warrior Thrower</v>
      </c>
      <c r="F6" s="48">
        <f>VLOOKUP(CONCATENATE(VLOOKUP(A6,TEAMS,2,FALSE),TEXT($B6,"00")),PLAYERS,F$1,FALSE)</f>
        <v>6</v>
      </c>
      <c r="G6" s="48">
        <f>VLOOKUP(CONCATENATE(VLOOKUP(A6,TEAMS,2,FALSE),TEXT($B6,"00")),PLAYERS,G$1,FALSE)</f>
        <v>3</v>
      </c>
      <c r="H6" s="48" t="str">
        <f>CONCATENATE(VLOOKUP(CONCATENATE(VLOOKUP(A6,TEAMS,2,FALSE),TEXT($B6,"00")),PLAYERS,H$1,FALSE),"+")</f>
        <v>3+</v>
      </c>
      <c r="I6" s="48" t="str">
        <f>CONCATENATE(VLOOKUP(CONCATENATE(VLOOKUP(A6,TEAMS,2,FALSE),TEXT($B6,"00")),PLAYERS,I$1,FALSE),IF(VLOOKUP(CONCATENATE(VLOOKUP(A6,TEAMS,2,FALSE),TEXT($B6,"00")),PLAYERS,I$1,FALSE)="-","","+"))</f>
        <v>3+</v>
      </c>
      <c r="J6" s="48" t="str">
        <f>CONCATENATE(VLOOKUP(CONCATENATE(VLOOKUP(A6,TEAMS,2,FALSE),TEXT($B6,"00")),PLAYERS,J$1,FALSE),"+")</f>
        <v>8+</v>
      </c>
      <c r="K6" s="50" t="str">
        <f>VLOOKUP(CONCATENATE(VLOOKUP(A6,TEAMS,2,FALSE),TEXT($B6,"00")),PLAYERS,K$1,FALSE)</f>
        <v>Dodge, On the Ball, Pass, Safe Pass</v>
      </c>
      <c r="L6" s="49" t="str">
        <f>VLOOKUP(CONCATENATE(VLOOKUP(A6,TEAMS,2,FALSE),TEXT($B6,"00")),PLAYERS,L$1,FALSE)</f>
        <v>GP</v>
      </c>
      <c r="M6" s="49" t="str">
        <f>VLOOKUP(CONCATENATE(VLOOKUP(A6,TEAMS,2,FALSE),TEXT($B6,"00")),PLAYERS,M$1,FALSE)</f>
        <v>AS</v>
      </c>
      <c r="N6" s="48" t="str">
        <f>CONCATENATE(ABS(VLOOKUP(CONCATENATE(VLOOKUP(A6,TEAMS,2,FALSE),TEXT(B6,"00")),PLAYERS,5,FALSE)),"k")</f>
        <v>80k</v>
      </c>
    </row>
    <row r="7" spans="1:14" x14ac:dyDescent="0.25">
      <c r="A7" s="6" t="s">
        <v>79</v>
      </c>
      <c r="B7" s="6">
        <v>3</v>
      </c>
      <c r="D7" s="49" t="str">
        <f>CONCATENATE("0-",VLOOKUP(CONCATENATE(VLOOKUP(A7,TEAMS,2,FALSE),TEXT(B7,"00")),PLAYERS,$D$1,FALSE),IF(VLOOKUP(CONCATENATE(VLOOKUP(A7,TEAMS,2,FALSE),TEXT(B7,"00")),PLAYERS,$D$1+1,FALSE)="BG"," *",""))</f>
        <v>0-2</v>
      </c>
      <c r="E7" s="50" t="str">
        <f>VLOOKUP(CONCATENATE(VLOOKUP(A7,TEAMS,2,FALSE),TEXT($B7,"00")),PLAYERS,E$1,FALSE)</f>
        <v>Piranha Warrior Blitzer</v>
      </c>
      <c r="F7" s="48">
        <f>VLOOKUP(CONCATENATE(VLOOKUP(A7,TEAMS,2,FALSE),TEXT($B7,"00")),PLAYERS,F$1,FALSE)</f>
        <v>7</v>
      </c>
      <c r="G7" s="48">
        <f>VLOOKUP(CONCATENATE(VLOOKUP(A7,TEAMS,2,FALSE),TEXT($B7,"00")),PLAYERS,G$1,FALSE)</f>
        <v>3</v>
      </c>
      <c r="H7" s="48" t="str">
        <f>CONCATENATE(VLOOKUP(CONCATENATE(VLOOKUP(A7,TEAMS,2,FALSE),TEXT($B7,"00")),PLAYERS,H$1,FALSE),"+")</f>
        <v>3+</v>
      </c>
      <c r="I7" s="48" t="str">
        <f>CONCATENATE(VLOOKUP(CONCATENATE(VLOOKUP(A7,TEAMS,2,FALSE),TEXT($B7,"00")),PLAYERS,I$1,FALSE),IF(VLOOKUP(CONCATENATE(VLOOKUP(A7,TEAMS,2,FALSE),TEXT($B7,"00")),PLAYERS,I$1,FALSE)="-","","+"))</f>
        <v>5+</v>
      </c>
      <c r="J7" s="48" t="str">
        <f>CONCATENATE(VLOOKUP(CONCATENATE(VLOOKUP(A7,TEAMS,2,FALSE),TEXT($B7,"00")),PLAYERS,J$1,FALSE),"+")</f>
        <v>8+</v>
      </c>
      <c r="K7" s="50" t="str">
        <f>VLOOKUP(CONCATENATE(VLOOKUP(A7,TEAMS,2,FALSE),TEXT($B7,"00")),PLAYERS,K$1,FALSE)</f>
        <v>Dodge, Hit and Run, Jump Up</v>
      </c>
      <c r="L7" s="49" t="str">
        <f>VLOOKUP(CONCATENATE(VLOOKUP(A7,TEAMS,2,FALSE),TEXT($B7,"00")),PLAYERS,L$1,FALSE)</f>
        <v>AG</v>
      </c>
      <c r="M7" s="49" t="str">
        <f>VLOOKUP(CONCATENATE(VLOOKUP(A7,TEAMS,2,FALSE),TEXT($B7,"00")),PLAYERS,M$1,FALSE)</f>
        <v>S</v>
      </c>
      <c r="N7" s="48" t="str">
        <f>CONCATENATE(ABS(VLOOKUP(CONCATENATE(VLOOKUP(A7,TEAMS,2,FALSE),TEXT(B7,"00")),PLAYERS,5,FALSE)),"k")</f>
        <v>90k</v>
      </c>
    </row>
    <row r="8" spans="1:14" x14ac:dyDescent="0.25">
      <c r="A8" s="6" t="s">
        <v>79</v>
      </c>
      <c r="B8" s="6">
        <v>4</v>
      </c>
      <c r="D8" s="49" t="str">
        <f>CONCATENATE("0-",VLOOKUP(CONCATENATE(VLOOKUP(A8,TEAMS,2,FALSE),TEXT(B8,"00")),PLAYERS,$D$1,FALSE),IF(VLOOKUP(CONCATENATE(VLOOKUP(A8,TEAMS,2,FALSE),TEXT(B8,"00")),PLAYERS,$D$1+1,FALSE)="BG"," *",""))</f>
        <v>0-2</v>
      </c>
      <c r="E8" s="50" t="str">
        <f>VLOOKUP(CONCATENATE(VLOOKUP(A8,TEAMS,2,FALSE),TEXT($B8,"00")),PLAYERS,E$1,FALSE)</f>
        <v>Jaguar Warrior Blocker</v>
      </c>
      <c r="F8" s="48">
        <f>VLOOKUP(CONCATENATE(VLOOKUP(A8,TEAMS,2,FALSE),TEXT($B8,"00")),PLAYERS,F$1,FALSE)</f>
        <v>6</v>
      </c>
      <c r="G8" s="48">
        <f>VLOOKUP(CONCATENATE(VLOOKUP(A8,TEAMS,2,FALSE),TEXT($B8,"00")),PLAYERS,G$1,FALSE)</f>
        <v>4</v>
      </c>
      <c r="H8" s="48" t="str">
        <f>CONCATENATE(VLOOKUP(CONCATENATE(VLOOKUP(A8,TEAMS,2,FALSE),TEXT($B8,"00")),PLAYERS,H$1,FALSE),"+")</f>
        <v>3+</v>
      </c>
      <c r="I8" s="48" t="str">
        <f>CONCATENATE(VLOOKUP(CONCATENATE(VLOOKUP(A8,TEAMS,2,FALSE),TEXT($B8,"00")),PLAYERS,I$1,FALSE),IF(VLOOKUP(CONCATENATE(VLOOKUP(A8,TEAMS,2,FALSE),TEXT($B8,"00")),PLAYERS,I$1,FALSE)="-","","+"))</f>
        <v>5+</v>
      </c>
      <c r="J8" s="48" t="str">
        <f>CONCATENATE(VLOOKUP(CONCATENATE(VLOOKUP(A8,TEAMS,2,FALSE),TEXT($B8,"00")),PLAYERS,J$1,FALSE),"+")</f>
        <v>9+</v>
      </c>
      <c r="K8" s="50" t="str">
        <f>VLOOKUP(CONCATENATE(VLOOKUP(A8,TEAMS,2,FALSE),TEXT($B8,"00")),PLAYERS,K$1,FALSE)</f>
        <v>Defensive, Dodge</v>
      </c>
      <c r="L8" s="49" t="str">
        <f>VLOOKUP(CONCATENATE(VLOOKUP(A8,TEAMS,2,FALSE),TEXT($B8,"00")),PLAYERS,L$1,FALSE)</f>
        <v>GS</v>
      </c>
      <c r="M8" s="49" t="str">
        <f>VLOOKUP(CONCATENATE(VLOOKUP(A8,TEAMS,2,FALSE),TEXT($B8,"00")),PLAYERS,M$1,FALSE)</f>
        <v>A</v>
      </c>
      <c r="N8" s="48" t="str">
        <f>CONCATENATE(ABS(VLOOKUP(CONCATENATE(VLOOKUP(A8,TEAMS,2,FALSE),TEXT(B8,"00")),PLAYERS,5,FALSE)),"k")</f>
        <v>110k</v>
      </c>
    </row>
    <row r="9" spans="1:14" x14ac:dyDescent="0.25">
      <c r="D9" s="17" t="s">
        <v>580</v>
      </c>
      <c r="E9" s="17" t="str">
        <f>CONCATENATE(VLOOKUP(A3,TEAMS,5,FALSE),"k")</f>
        <v>60k</v>
      </c>
      <c r="F9" s="364" t="s">
        <v>584</v>
      </c>
      <c r="G9" s="369"/>
      <c r="H9" s="369"/>
      <c r="I9" s="365"/>
      <c r="J9" s="48" t="str">
        <f>VLOOKUP(A3,TEAMS,6,FALSE)</f>
        <v>Yes</v>
      </c>
      <c r="K9" s="366" t="s">
        <v>585</v>
      </c>
      <c r="L9" s="367"/>
      <c r="M9" s="368"/>
      <c r="N9" s="51">
        <f>VLOOKUP(A3,TEAMS,8,FALSE)</f>
        <v>2</v>
      </c>
    </row>
    <row r="10" spans="1:14" ht="15" customHeight="1" x14ac:dyDescent="0.25">
      <c r="D10" s="364" t="s">
        <v>586</v>
      </c>
      <c r="E10" s="365"/>
      <c r="F10" s="360" t="str">
        <f>IFERROR(VLOOKUP(LEFT(VLOOKUP(A4,TEAMS,7,FALSE),3),SpecialRules,3,FALSE) &amp; VLOOKUP(MID(VLOOKUP(A4,TEAMS,7,FALSE),4,3),SpecialRules,3,FALSE),"")</f>
        <v/>
      </c>
      <c r="G10" s="360"/>
      <c r="H10" s="360"/>
      <c r="I10" s="360"/>
      <c r="J10" s="360"/>
      <c r="K10" s="360"/>
      <c r="L10" s="360"/>
      <c r="M10" s="360"/>
      <c r="N10" s="360"/>
    </row>
    <row r="12" spans="1:14" ht="21" x14ac:dyDescent="0.35">
      <c r="A12" s="6" t="s">
        <v>78</v>
      </c>
      <c r="B12" s="6">
        <v>3</v>
      </c>
      <c r="D12" s="354" t="str">
        <f>A12</f>
        <v>Black Orc</v>
      </c>
      <c r="E12" s="355"/>
      <c r="F12" s="355"/>
      <c r="G12" s="355"/>
      <c r="H12" s="355"/>
      <c r="I12" s="355"/>
      <c r="J12" s="355"/>
      <c r="K12" s="355"/>
      <c r="L12" s="355"/>
      <c r="M12" s="355"/>
      <c r="N12" s="356"/>
    </row>
    <row r="13" spans="1:14" x14ac:dyDescent="0.25">
      <c r="A13" s="6" t="s">
        <v>78</v>
      </c>
      <c r="D13" s="17" t="s">
        <v>765</v>
      </c>
      <c r="E13" s="17" t="s">
        <v>3</v>
      </c>
      <c r="F13" s="48" t="s">
        <v>4</v>
      </c>
      <c r="G13" s="48" t="s">
        <v>5</v>
      </c>
      <c r="H13" s="48" t="s">
        <v>6</v>
      </c>
      <c r="I13" s="48" t="s">
        <v>7</v>
      </c>
      <c r="J13" s="48" t="s">
        <v>8</v>
      </c>
      <c r="K13" s="17" t="s">
        <v>566</v>
      </c>
      <c r="L13" s="17" t="s">
        <v>578</v>
      </c>
      <c r="M13" s="17" t="s">
        <v>579</v>
      </c>
      <c r="N13" s="51" t="s">
        <v>715</v>
      </c>
    </row>
    <row r="14" spans="1:14" x14ac:dyDescent="0.25">
      <c r="A14" s="6" t="s">
        <v>78</v>
      </c>
      <c r="B14" s="6">
        <v>1</v>
      </c>
      <c r="D14" s="49" t="str">
        <f>CONCATENATE("0-",VLOOKUP(CONCATENATE(VLOOKUP(A14,TEAMS,2,FALSE),TEXT(B14,"00")),PLAYERS,$D$1,FALSE),IF(VLOOKUP(CONCATENATE(VLOOKUP(A14,TEAMS,2,FALSE),TEXT(B14,"00")),PLAYERS,$D$1+1,FALSE)="BG"," *",""))</f>
        <v>0-12</v>
      </c>
      <c r="E14" s="49" t="str">
        <f>VLOOKUP(CONCATENATE(VLOOKUP(A14,TEAMS,2,FALSE),TEXT($B14,"00")),PLAYERS,E$1,FALSE)</f>
        <v>Goblin Bruiser Lineman</v>
      </c>
      <c r="F14" s="48">
        <f>VLOOKUP(CONCATENATE(VLOOKUP(A14,TEAMS,2,FALSE),TEXT($B14,"00")),PLAYERS,F$1,FALSE)</f>
        <v>6</v>
      </c>
      <c r="G14" s="48">
        <f>VLOOKUP(CONCATENATE(VLOOKUP(A14,TEAMS,2,FALSE),TEXT($B14,"00")),PLAYERS,G$1,FALSE)</f>
        <v>2</v>
      </c>
      <c r="H14" s="48" t="str">
        <f>CONCATENATE(VLOOKUP(CONCATENATE(VLOOKUP(A14,TEAMS,2,FALSE),TEXT($B14,"00")),PLAYERS,H$1,FALSE),"+")</f>
        <v>3+</v>
      </c>
      <c r="I14" s="48" t="str">
        <f>CONCATENATE(VLOOKUP(CONCATENATE(VLOOKUP(A14,TEAMS,2,FALSE),TEXT($B14,"00")),PLAYERS,I$1,FALSE),IF(VLOOKUP(CONCATENATE(VLOOKUP(A14,TEAMS,2,FALSE),TEXT($B14,"00")),PLAYERS,I$1,FALSE)="-","","+"))</f>
        <v>4+</v>
      </c>
      <c r="J14" s="48" t="str">
        <f>CONCATENATE(VLOOKUP(CONCATENATE(VLOOKUP(A14,TEAMS,2,FALSE),TEXT($B14,"00")),PLAYERS,J$1,FALSE),"+")</f>
        <v>8+</v>
      </c>
      <c r="K14" s="50" t="str">
        <f>VLOOKUP(CONCATENATE(VLOOKUP(A14,TEAMS,2,FALSE),TEXT($B14,"00")),PLAYERS,K$1,FALSE)</f>
        <v>Dodge, Right Stuff, Stunty, Thick Skull</v>
      </c>
      <c r="L14" s="49" t="str">
        <f>VLOOKUP(CONCATENATE(VLOOKUP(A14,TEAMS,2,FALSE),TEXT($B14,"00")),PLAYERS,L$1,FALSE)</f>
        <v>A</v>
      </c>
      <c r="M14" s="49" t="str">
        <f>VLOOKUP(CONCATENATE(VLOOKUP(A14,TEAMS,2,FALSE),TEXT($B14,"00")),PLAYERS,M$1,FALSE)</f>
        <v>GPS</v>
      </c>
      <c r="N14" s="48" t="str">
        <f>CONCATENATE(ABS(VLOOKUP(CONCATENATE(VLOOKUP(A14,TEAMS,2,FALSE),TEXT(B14,"00")),PLAYERS,5,FALSE)),"k")</f>
        <v>45k</v>
      </c>
    </row>
    <row r="15" spans="1:14" x14ac:dyDescent="0.25">
      <c r="A15" s="6" t="s">
        <v>78</v>
      </c>
      <c r="B15" s="6">
        <v>2</v>
      </c>
      <c r="D15" s="49" t="str">
        <f>CONCATENATE("0-",VLOOKUP(CONCATENATE(VLOOKUP(A15,TEAMS,2,FALSE),TEXT(B15,"00")),PLAYERS,$D$1,FALSE),IF(VLOOKUP(CONCATENATE(VLOOKUP(A15,TEAMS,2,FALSE),TEXT(B15,"00")),PLAYERS,$D$1+1,FALSE)="BG"," *",""))</f>
        <v>0-6</v>
      </c>
      <c r="E15" s="49" t="str">
        <f>VLOOKUP(CONCATENATE(VLOOKUP(A15,TEAMS,2,FALSE),TEXT($B15,"00")),PLAYERS,E$1,FALSE)</f>
        <v>Black Orc</v>
      </c>
      <c r="F15" s="48">
        <f>VLOOKUP(CONCATENATE(VLOOKUP(A15,TEAMS,2,FALSE),TEXT($B15,"00")),PLAYERS,F$1,FALSE)</f>
        <v>4</v>
      </c>
      <c r="G15" s="48">
        <f>VLOOKUP(CONCATENATE(VLOOKUP(A15,TEAMS,2,FALSE),TEXT($B15,"00")),PLAYERS,G$1,FALSE)</f>
        <v>4</v>
      </c>
      <c r="H15" s="48" t="str">
        <f>CONCATENATE(VLOOKUP(CONCATENATE(VLOOKUP(A15,TEAMS,2,FALSE),TEXT($B15,"00")),PLAYERS,H$1,FALSE),"+")</f>
        <v>4+</v>
      </c>
      <c r="I15" s="48" t="str">
        <f>CONCATENATE(VLOOKUP(CONCATENATE(VLOOKUP(A15,TEAMS,2,FALSE),TEXT($B15,"00")),PLAYERS,I$1,FALSE),IF(VLOOKUP(CONCATENATE(VLOOKUP(A15,TEAMS,2,FALSE),TEXT($B15,"00")),PLAYERS,I$1,FALSE)="-","","+"))</f>
        <v>5+</v>
      </c>
      <c r="J15" s="48" t="str">
        <f>CONCATENATE(VLOOKUP(CONCATENATE(VLOOKUP(A15,TEAMS,2,FALSE),TEXT($B15,"00")),PLAYERS,J$1,FALSE),"+")</f>
        <v>10+</v>
      </c>
      <c r="K15" s="50" t="str">
        <f>VLOOKUP(CONCATENATE(VLOOKUP(A15,TEAMS,2,FALSE),TEXT($B15,"00")),PLAYERS,K$1,FALSE)</f>
        <v>Brawler, Grab</v>
      </c>
      <c r="L15" s="49" t="str">
        <f>VLOOKUP(CONCATENATE(VLOOKUP(A15,TEAMS,2,FALSE),TEXT($B15,"00")),PLAYERS,L$1,FALSE)</f>
        <v>GS</v>
      </c>
      <c r="M15" s="49" t="str">
        <f>VLOOKUP(CONCATENATE(VLOOKUP(A15,TEAMS,2,FALSE),TEXT($B15,"00")),PLAYERS,M$1,FALSE)</f>
        <v>AP</v>
      </c>
      <c r="N15" s="48" t="str">
        <f>CONCATENATE(ABS(VLOOKUP(CONCATENATE(VLOOKUP(A15,TEAMS,2,FALSE),TEXT(B15,"00")),PLAYERS,5,FALSE)),"k")</f>
        <v>90k</v>
      </c>
    </row>
    <row r="16" spans="1:14" ht="47.25" customHeight="1" x14ac:dyDescent="0.25">
      <c r="A16" s="6" t="s">
        <v>78</v>
      </c>
      <c r="B16" s="6">
        <v>3</v>
      </c>
      <c r="D16" s="49" t="str">
        <f>CONCATENATE("0-",VLOOKUP(CONCATENATE(VLOOKUP(A16,TEAMS,2,FALSE),TEXT(B16,"00")),PLAYERS,$D$1,FALSE),IF(VLOOKUP(CONCATENATE(VLOOKUP(A16,TEAMS,2,FALSE),TEXT(B16,"00")),PLAYERS,$D$1+1,FALSE)="BG"," *",""))</f>
        <v>0-1</v>
      </c>
      <c r="E16" s="50" t="str">
        <f>VLOOKUP(CONCATENATE(VLOOKUP(A16,TEAMS,2,FALSE),TEXT($B16,"00")),PLAYERS,E$1,FALSE)</f>
        <v>Trained Troll for Black Orcs</v>
      </c>
      <c r="F16" s="48">
        <f>VLOOKUP(CONCATENATE(VLOOKUP(A16,TEAMS,2,FALSE),TEXT($B16,"00")),PLAYERS,F$1,FALSE)</f>
        <v>4</v>
      </c>
      <c r="G16" s="48">
        <f>VLOOKUP(CONCATENATE(VLOOKUP(A16,TEAMS,2,FALSE),TEXT($B16,"00")),PLAYERS,G$1,FALSE)</f>
        <v>5</v>
      </c>
      <c r="H16" s="48" t="str">
        <f>CONCATENATE(VLOOKUP(CONCATENATE(VLOOKUP(A16,TEAMS,2,FALSE),TEXT($B16,"00")),PLAYERS,H$1,FALSE),"+")</f>
        <v>5+</v>
      </c>
      <c r="I16" s="48" t="str">
        <f>CONCATENATE(VLOOKUP(CONCATENATE(VLOOKUP(A16,TEAMS,2,FALSE),TEXT($B16,"00")),PLAYERS,I$1,FALSE),IF(VLOOKUP(CONCATENATE(VLOOKUP(A16,TEAMS,2,FALSE),TEXT($B16,"00")),PLAYERS,I$1,FALSE)="-","","+"))</f>
        <v>5+</v>
      </c>
      <c r="J16" s="48" t="str">
        <f>CONCATENATE(VLOOKUP(CONCATENATE(VLOOKUP(A16,TEAMS,2,FALSE),TEXT($B16,"00")),PLAYERS,J$1,FALSE),"+")</f>
        <v>10+</v>
      </c>
      <c r="K16" s="50" t="str">
        <f>VLOOKUP(CONCATENATE(VLOOKUP(A16,TEAMS,2,FALSE),TEXT($B16,"00")),PLAYERS,K$1,FALSE)</f>
        <v>Always Hungry*, Loner (3+)*, Mighty Blow (+1), Projectile Vomit, Really Stupid*, Regeneration, Throw Team-mate</v>
      </c>
      <c r="L16" s="49" t="str">
        <f>VLOOKUP(CONCATENATE(VLOOKUP(A16,TEAMS,2,FALSE),TEXT($B16,"00")),PLAYERS,L$1,FALSE)</f>
        <v>S</v>
      </c>
      <c r="M16" s="49" t="str">
        <f>VLOOKUP(CONCATENATE(VLOOKUP(A16,TEAMS,2,FALSE),TEXT($B16,"00")),PLAYERS,M$1,FALSE)</f>
        <v>AGP</v>
      </c>
      <c r="N16" s="48" t="str">
        <f>CONCATENATE(ABS(VLOOKUP(CONCATENATE(VLOOKUP(A16,TEAMS,2,FALSE),TEXT(B16,"00")),PLAYERS,5,FALSE)),"k")</f>
        <v>115k</v>
      </c>
    </row>
    <row r="17" spans="1:14" x14ac:dyDescent="0.25">
      <c r="A17" s="6" t="s">
        <v>78</v>
      </c>
      <c r="D17" s="17" t="s">
        <v>580</v>
      </c>
      <c r="E17" s="17" t="str">
        <f>CONCATENATE(VLOOKUP(A12,TEAMS,5,FALSE),"k")</f>
        <v>60k</v>
      </c>
      <c r="F17" s="358" t="s">
        <v>584</v>
      </c>
      <c r="G17" s="358"/>
      <c r="H17" s="358"/>
      <c r="I17" s="358"/>
      <c r="J17" s="48" t="str">
        <f>VLOOKUP(A12,TEAMS,6,FALSE)</f>
        <v>Yes</v>
      </c>
      <c r="K17" s="359" t="s">
        <v>585</v>
      </c>
      <c r="L17" s="359"/>
      <c r="M17" s="359"/>
      <c r="N17" s="51">
        <f>VLOOKUP(A12,TEAMS,8,FALSE)</f>
        <v>5</v>
      </c>
    </row>
    <row r="18" spans="1:14" ht="30" customHeight="1" x14ac:dyDescent="0.25">
      <c r="A18" s="6" t="s">
        <v>78</v>
      </c>
      <c r="D18" s="358" t="s">
        <v>586</v>
      </c>
      <c r="E18" s="358"/>
      <c r="F18" s="360" t="str">
        <f>IFERROR(VLOOKUP(LEFT(VLOOKUP(A12,TEAMS,7,FALSE),3),SpecialRules,3,FALSE) &amp; VLOOKUP(MID(VLOOKUP(A12,TEAMS,7,FALSE),4,3),SpecialRules,3,FALSE),"")</f>
        <v>Once per game, when rolling on the Argue the Call table, you may re-roll a roll of a natural 1. Bribes are 50,000 gold pieces each.</v>
      </c>
      <c r="G18" s="360"/>
      <c r="H18" s="360"/>
      <c r="I18" s="360"/>
      <c r="J18" s="360"/>
      <c r="K18" s="360"/>
      <c r="L18" s="360"/>
      <c r="M18" s="360"/>
      <c r="N18" s="360"/>
    </row>
    <row r="19" spans="1:14" x14ac:dyDescent="0.25">
      <c r="D19" s="361"/>
      <c r="E19" s="361"/>
      <c r="F19" s="361"/>
      <c r="G19" s="361"/>
      <c r="H19" s="361"/>
      <c r="I19" s="361"/>
      <c r="J19" s="361"/>
      <c r="K19" s="361"/>
      <c r="L19" s="361"/>
      <c r="M19" s="361"/>
      <c r="N19" s="361"/>
    </row>
    <row r="20" spans="1:14" ht="21" x14ac:dyDescent="0.35">
      <c r="A20" s="6" t="s">
        <v>80</v>
      </c>
      <c r="B20" s="6">
        <v>5</v>
      </c>
      <c r="D20" s="357" t="str">
        <f>A20</f>
        <v>Chaos Chosen</v>
      </c>
      <c r="E20" s="357"/>
      <c r="F20" s="357"/>
      <c r="G20" s="357"/>
      <c r="H20" s="357"/>
      <c r="I20" s="357"/>
      <c r="J20" s="357"/>
      <c r="K20" s="357"/>
      <c r="L20" s="357"/>
      <c r="M20" s="357"/>
      <c r="N20" s="357"/>
    </row>
    <row r="21" spans="1:14" x14ac:dyDescent="0.25">
      <c r="A21" s="6" t="s">
        <v>80</v>
      </c>
      <c r="D21" s="17" t="s">
        <v>765</v>
      </c>
      <c r="E21" s="17" t="s">
        <v>3</v>
      </c>
      <c r="F21" s="48" t="s">
        <v>4</v>
      </c>
      <c r="G21" s="48" t="s">
        <v>5</v>
      </c>
      <c r="H21" s="48" t="s">
        <v>6</v>
      </c>
      <c r="I21" s="48" t="s">
        <v>7</v>
      </c>
      <c r="J21" s="48" t="s">
        <v>8</v>
      </c>
      <c r="K21" s="17" t="s">
        <v>566</v>
      </c>
      <c r="L21" s="17" t="s">
        <v>578</v>
      </c>
      <c r="M21" s="17" t="s">
        <v>579</v>
      </c>
      <c r="N21" s="51" t="s">
        <v>715</v>
      </c>
    </row>
    <row r="22" spans="1:14" ht="30" x14ac:dyDescent="0.25">
      <c r="A22" s="6" t="s">
        <v>80</v>
      </c>
      <c r="B22" s="6">
        <v>1</v>
      </c>
      <c r="D22" s="49" t="str">
        <f>CONCATENATE("0-",VLOOKUP(CONCATENATE(VLOOKUP(A22,TEAMS,2,FALSE),TEXT(B22,"00")),PLAYERS,$D$1,FALSE),IF(VLOOKUP(CONCATENATE(VLOOKUP(A22,TEAMS,2,FALSE),TEXT(B22,"00")),PLAYERS,$D$1+1,FALSE)="BG"," *",""))</f>
        <v>0-16</v>
      </c>
      <c r="E22" s="50" t="str">
        <f>VLOOKUP(CONCATENATE(VLOOKUP(A22,TEAMS,2,FALSE),TEXT($B22,"00")),PLAYERS,E$1,FALSE)</f>
        <v>Beastman Runner Lineman</v>
      </c>
      <c r="F22" s="48">
        <f>VLOOKUP(CONCATENATE(VLOOKUP(A22,TEAMS,2,FALSE),TEXT($B22,"00")),PLAYERS,F$1,FALSE)</f>
        <v>6</v>
      </c>
      <c r="G22" s="48">
        <f>VLOOKUP(CONCATENATE(VLOOKUP(A22,TEAMS,2,FALSE),TEXT($B22,"00")),PLAYERS,G$1,FALSE)</f>
        <v>3</v>
      </c>
      <c r="H22" s="48" t="str">
        <f>CONCATENATE(VLOOKUP(CONCATENATE(VLOOKUP(A22,TEAMS,2,FALSE),TEXT($B22,"00")),PLAYERS,H$1,FALSE),"+")</f>
        <v>3+</v>
      </c>
      <c r="I22" s="48" t="str">
        <f>CONCATENATE(VLOOKUP(CONCATENATE(VLOOKUP(A22,TEAMS,2,FALSE),TEXT($B22,"00")),PLAYERS,I$1,FALSE),IF(VLOOKUP(CONCATENATE(VLOOKUP(A22,TEAMS,2,FALSE),TEXT($B22,"00")),PLAYERS,I$1,FALSE)="-","","+"))</f>
        <v>4+</v>
      </c>
      <c r="J22" s="48" t="str">
        <f>CONCATENATE(VLOOKUP(CONCATENATE(VLOOKUP(A22,TEAMS,2,FALSE),TEXT($B22,"00")),PLAYERS,J$1,FALSE),"+")</f>
        <v>9+</v>
      </c>
      <c r="K22" s="50" t="str">
        <f>VLOOKUP(CONCATENATE(VLOOKUP(A22,TEAMS,2,FALSE),TEXT($B22,"00")),PLAYERS,K$1,FALSE)</f>
        <v>Horns</v>
      </c>
      <c r="L22" s="49" t="str">
        <f>VLOOKUP(CONCATENATE(VLOOKUP(A22,TEAMS,2,FALSE),TEXT($B22,"00")),PLAYERS,L$1,FALSE)</f>
        <v>GMS</v>
      </c>
      <c r="M22" s="49" t="str">
        <f>VLOOKUP(CONCATENATE(VLOOKUP(A22,TEAMS,2,FALSE),TEXT($B22,"00")),PLAYERS,M$1,FALSE)</f>
        <v>AP</v>
      </c>
      <c r="N22" s="48" t="str">
        <f>CONCATENATE(ABS(VLOOKUP(CONCATENATE(VLOOKUP(A22,TEAMS,2,FALSE),TEXT(B22,"00")),PLAYERS,5,FALSE)),"k")</f>
        <v>60k</v>
      </c>
    </row>
    <row r="23" spans="1:14" x14ac:dyDescent="0.25">
      <c r="A23" s="6" t="s">
        <v>80</v>
      </c>
      <c r="B23" s="6">
        <v>2</v>
      </c>
      <c r="D23" s="49" t="str">
        <f>CONCATENATE("0-",VLOOKUP(CONCATENATE(VLOOKUP(A23,TEAMS,2,FALSE),TEXT(B23,"00")),PLAYERS,$D$1,FALSE),IF(VLOOKUP(CONCATENATE(VLOOKUP(A23,TEAMS,2,FALSE),TEXT(B23,"00")),PLAYERS,$D$1+1,FALSE)="BG"," *",""))</f>
        <v>0-4</v>
      </c>
      <c r="E23" s="49" t="str">
        <f>VLOOKUP(CONCATENATE(VLOOKUP(A23,TEAMS,2,FALSE),TEXT($B23,"00")),PLAYERS,E$1,FALSE)</f>
        <v>Chosen Blocker</v>
      </c>
      <c r="F23" s="48">
        <f>VLOOKUP(CONCATENATE(VLOOKUP(A23,TEAMS,2,FALSE),TEXT($B23,"00")),PLAYERS,F$1,FALSE)</f>
        <v>5</v>
      </c>
      <c r="G23" s="48">
        <f>VLOOKUP(CONCATENATE(VLOOKUP(A23,TEAMS,2,FALSE),TEXT($B23,"00")),PLAYERS,G$1,FALSE)</f>
        <v>4</v>
      </c>
      <c r="H23" s="48" t="str">
        <f>CONCATENATE(VLOOKUP(CONCATENATE(VLOOKUP(A23,TEAMS,2,FALSE),TEXT($B23,"00")),PLAYERS,H$1,FALSE),"+")</f>
        <v>3+</v>
      </c>
      <c r="I23" s="48" t="str">
        <f>CONCATENATE(VLOOKUP(CONCATENATE(VLOOKUP(A23,TEAMS,2,FALSE),TEXT($B23,"00")),PLAYERS,I$1,FALSE),IF(VLOOKUP(CONCATENATE(VLOOKUP(A23,TEAMS,2,FALSE),TEXT($B23,"00")),PLAYERS,I$1,FALSE)="-","","+"))</f>
        <v>5+</v>
      </c>
      <c r="J23" s="48" t="str">
        <f>CONCATENATE(VLOOKUP(CONCATENATE(VLOOKUP(A23,TEAMS,2,FALSE),TEXT($B23,"00")),PLAYERS,J$1,FALSE),"+")</f>
        <v>10+</v>
      </c>
      <c r="K23" s="50" t="str">
        <f>VLOOKUP(CONCATENATE(VLOOKUP(A23,TEAMS,2,FALSE),TEXT($B23,"00")),PLAYERS,K$1,FALSE)</f>
        <v>None</v>
      </c>
      <c r="L23" s="49" t="str">
        <f>VLOOKUP(CONCATENATE(VLOOKUP(A23,TEAMS,2,FALSE),TEXT($B23,"00")),PLAYERS,L$1,FALSE)</f>
        <v>GMS</v>
      </c>
      <c r="M23" s="49" t="str">
        <f>VLOOKUP(CONCATENATE(VLOOKUP(A23,TEAMS,2,FALSE),TEXT($B23,"00")),PLAYERS,M$1,FALSE)</f>
        <v>A</v>
      </c>
      <c r="N23" s="48" t="str">
        <f>CONCATENATE(ABS(VLOOKUP(CONCATENATE(VLOOKUP(A23,TEAMS,2,FALSE),TEXT(B23,"00")),PLAYERS,5,FALSE)),"k")</f>
        <v>100k</v>
      </c>
    </row>
    <row r="24" spans="1:14" ht="45" x14ac:dyDescent="0.25">
      <c r="A24" s="6" t="s">
        <v>80</v>
      </c>
      <c r="B24" s="6">
        <v>3</v>
      </c>
      <c r="D24" s="49" t="str">
        <f>CONCATENATE("0-",VLOOKUP(CONCATENATE(VLOOKUP(A24,TEAMS,2,FALSE),TEXT(B24,"00")),PLAYERS,$D$1,FALSE),IF(VLOOKUP(CONCATENATE(VLOOKUP(A24,TEAMS,2,FALSE),TEXT(B24,"00")),PLAYERS,$D$1+1,FALSE)="BG"," *",""))</f>
        <v>0-1 *</v>
      </c>
      <c r="E24" s="49" t="str">
        <f>VLOOKUP(CONCATENATE(VLOOKUP(A24,TEAMS,2,FALSE),TEXT($B24,"00")),PLAYERS,E$1,FALSE)</f>
        <v>Chaos Troll</v>
      </c>
      <c r="F24" s="48">
        <f>VLOOKUP(CONCATENATE(VLOOKUP(A24,TEAMS,2,FALSE),TEXT($B24,"00")),PLAYERS,F$1,FALSE)</f>
        <v>4</v>
      </c>
      <c r="G24" s="48">
        <f>VLOOKUP(CONCATENATE(VLOOKUP(A24,TEAMS,2,FALSE),TEXT($B24,"00")),PLAYERS,G$1,FALSE)</f>
        <v>5</v>
      </c>
      <c r="H24" s="48" t="str">
        <f>CONCATENATE(VLOOKUP(CONCATENATE(VLOOKUP(A24,TEAMS,2,FALSE),TEXT($B24,"00")),PLAYERS,H$1,FALSE),"+")</f>
        <v>5+</v>
      </c>
      <c r="I24" s="48" t="str">
        <f>CONCATENATE(VLOOKUP(CONCATENATE(VLOOKUP(A24,TEAMS,2,FALSE),TEXT($B24,"00")),PLAYERS,I$1,FALSE),IF(VLOOKUP(CONCATENATE(VLOOKUP(A24,TEAMS,2,FALSE),TEXT($B24,"00")),PLAYERS,I$1,FALSE)="-","","+"))</f>
        <v>5+</v>
      </c>
      <c r="J24" s="48" t="str">
        <f>CONCATENATE(VLOOKUP(CONCATENATE(VLOOKUP(A24,TEAMS,2,FALSE),TEXT($B24,"00")),PLAYERS,J$1,FALSE),"+")</f>
        <v>10+</v>
      </c>
      <c r="K24" s="50" t="str">
        <f>VLOOKUP(CONCATENATE(VLOOKUP(A24,TEAMS,2,FALSE),TEXT($B24,"00")),PLAYERS,K$1,FALSE)</f>
        <v>Always Hungry*, Loner (4+)*, Mighty Blow (+1), Projectile Vomit, Really Stupid*, Regeneration, Throw Team-mate</v>
      </c>
      <c r="L24" s="49" t="str">
        <f>VLOOKUP(CONCATENATE(VLOOKUP(A24,TEAMS,2,FALSE),TEXT($B24,"00")),PLAYERS,L$1,FALSE)</f>
        <v>MS</v>
      </c>
      <c r="M24" s="49" t="str">
        <f>VLOOKUP(CONCATENATE(VLOOKUP(A24,TEAMS,2,FALSE),TEXT($B24,"00")),PLAYERS,M$1,FALSE)</f>
        <v>AG</v>
      </c>
      <c r="N24" s="48" t="str">
        <f>CONCATENATE(ABS(VLOOKUP(CONCATENATE(VLOOKUP(A24,TEAMS,2,FALSE),TEXT(B24,"00")),PLAYERS,5,FALSE)),"k")</f>
        <v>115k</v>
      </c>
    </row>
    <row r="25" spans="1:14" ht="30" x14ac:dyDescent="0.25">
      <c r="A25" s="6" t="s">
        <v>80</v>
      </c>
      <c r="B25" s="6">
        <v>4</v>
      </c>
      <c r="D25" s="49" t="str">
        <f>CONCATENATE("0-",VLOOKUP(CONCATENATE(VLOOKUP(A25,TEAMS,2,FALSE),TEXT(B25,"00")),PLAYERS,$D$1,FALSE),IF(VLOOKUP(CONCATENATE(VLOOKUP(A25,TEAMS,2,FALSE),TEXT(B25,"00")),PLAYERS,$D$1+1,FALSE)="BG"," *",""))</f>
        <v>0-1 *</v>
      </c>
      <c r="E25" s="49" t="str">
        <f>VLOOKUP(CONCATENATE(VLOOKUP(A25,TEAMS,2,FALSE),TEXT($B25,"00")),PLAYERS,E$1,FALSE)</f>
        <v>Chaos Ogre</v>
      </c>
      <c r="F25" s="48">
        <f>VLOOKUP(CONCATENATE(VLOOKUP(A25,TEAMS,2,FALSE),TEXT($B25,"00")),PLAYERS,F$1,FALSE)</f>
        <v>5</v>
      </c>
      <c r="G25" s="48">
        <f>VLOOKUP(CONCATENATE(VLOOKUP(A25,TEAMS,2,FALSE),TEXT($B25,"00")),PLAYERS,G$1,FALSE)</f>
        <v>5</v>
      </c>
      <c r="H25" s="48" t="str">
        <f>CONCATENATE(VLOOKUP(CONCATENATE(VLOOKUP(A25,TEAMS,2,FALSE),TEXT($B25,"00")),PLAYERS,H$1,FALSE),"+")</f>
        <v>4+</v>
      </c>
      <c r="I25" s="48" t="str">
        <f>CONCATENATE(VLOOKUP(CONCATENATE(VLOOKUP(A25,TEAMS,2,FALSE),TEXT($B25,"00")),PLAYERS,I$1,FALSE),IF(VLOOKUP(CONCATENATE(VLOOKUP(A25,TEAMS,2,FALSE),TEXT($B25,"00")),PLAYERS,I$1,FALSE)="-","","+"))</f>
        <v>5+</v>
      </c>
      <c r="J25" s="48" t="str">
        <f>CONCATENATE(VLOOKUP(CONCATENATE(VLOOKUP(A25,TEAMS,2,FALSE),TEXT($B25,"00")),PLAYERS,J$1,FALSE),"+")</f>
        <v>10+</v>
      </c>
      <c r="K25" s="50" t="str">
        <f>VLOOKUP(CONCATENATE(VLOOKUP(A25,TEAMS,2,FALSE),TEXT($B25,"00")),PLAYERS,K$1,FALSE)</f>
        <v>Bone Head*, Loner (4+)*, Mighty Blow (+1), Thick Skull, Throw Team-mate</v>
      </c>
      <c r="L25" s="49" t="str">
        <f>VLOOKUP(CONCATENATE(VLOOKUP(A25,TEAMS,2,FALSE),TEXT($B25,"00")),PLAYERS,L$1,FALSE)</f>
        <v>MS</v>
      </c>
      <c r="M25" s="49" t="str">
        <f>VLOOKUP(CONCATENATE(VLOOKUP(A25,TEAMS,2,FALSE),TEXT($B25,"00")),PLAYERS,M$1,FALSE)</f>
        <v>AG</v>
      </c>
      <c r="N25" s="48" t="str">
        <f>CONCATENATE(ABS(VLOOKUP(CONCATENATE(VLOOKUP(A25,TEAMS,2,FALSE),TEXT(B25,"00")),PLAYERS,5,FALSE)),"k")</f>
        <v>140k</v>
      </c>
    </row>
    <row r="26" spans="1:14" ht="30" x14ac:dyDescent="0.25">
      <c r="A26" s="6" t="s">
        <v>80</v>
      </c>
      <c r="B26" s="6">
        <v>5</v>
      </c>
      <c r="D26" s="49" t="str">
        <f>CONCATENATE("0-",VLOOKUP(CONCATENATE(VLOOKUP(A26,TEAMS,2,FALSE),TEXT(B26,"00")),PLAYERS,$D$1,FALSE),IF(VLOOKUP(CONCATENATE(VLOOKUP(A26,TEAMS,2,FALSE),TEXT(B26,"00")),PLAYERS,$D$1+1,FALSE)="BG"," *",""))</f>
        <v>0-1 *</v>
      </c>
      <c r="E26" s="49" t="str">
        <f>VLOOKUP(CONCATENATE(VLOOKUP(A26,TEAMS,2,FALSE),TEXT($B26,"00")),PLAYERS,E$1,FALSE)</f>
        <v>Minotaur</v>
      </c>
      <c r="F26" s="48">
        <f>VLOOKUP(CONCATENATE(VLOOKUP(A26,TEAMS,2,FALSE),TEXT($B26,"00")),PLAYERS,F$1,FALSE)</f>
        <v>5</v>
      </c>
      <c r="G26" s="48">
        <f>VLOOKUP(CONCATENATE(VLOOKUP(A26,TEAMS,2,FALSE),TEXT($B26,"00")),PLAYERS,G$1,FALSE)</f>
        <v>5</v>
      </c>
      <c r="H26" s="48" t="str">
        <f>CONCATENATE(VLOOKUP(CONCATENATE(VLOOKUP(A26,TEAMS,2,FALSE),TEXT($B26,"00")),PLAYERS,H$1,FALSE),"+")</f>
        <v>4+</v>
      </c>
      <c r="I26" s="48" t="str">
        <f>CONCATENATE(VLOOKUP(CONCATENATE(VLOOKUP(A26,TEAMS,2,FALSE),TEXT($B26,"00")),PLAYERS,I$1,FALSE),IF(VLOOKUP(CONCATENATE(VLOOKUP(A26,TEAMS,2,FALSE),TEXT($B26,"00")),PLAYERS,I$1,FALSE)="-","","+"))</f>
        <v>-</v>
      </c>
      <c r="J26" s="48" t="str">
        <f>CONCATENATE(VLOOKUP(CONCATENATE(VLOOKUP(A26,TEAMS,2,FALSE),TEXT($B26,"00")),PLAYERS,J$1,FALSE),"+")</f>
        <v>9+</v>
      </c>
      <c r="K26" s="50" t="str">
        <f>VLOOKUP(CONCATENATE(VLOOKUP(A26,TEAMS,2,FALSE),TEXT($B26,"00")),PLAYERS,K$1,FALSE)</f>
        <v>Loner (4+)*, Frenzy*, Horns, Mighty Blow (+1), Thick Skull, Unchannelled Fury*</v>
      </c>
      <c r="L26" s="49" t="str">
        <f>VLOOKUP(CONCATENATE(VLOOKUP(A26,TEAMS,2,FALSE),TEXT($B26,"00")),PLAYERS,L$1,FALSE)</f>
        <v>MS</v>
      </c>
      <c r="M26" s="49" t="str">
        <f>VLOOKUP(CONCATENATE(VLOOKUP(A26,TEAMS,2,FALSE),TEXT($B26,"00")),PLAYERS,M$1,FALSE)</f>
        <v>AG</v>
      </c>
      <c r="N26" s="48" t="str">
        <f>CONCATENATE(ABS(VLOOKUP(CONCATENATE(VLOOKUP(A26,TEAMS,2,FALSE),TEXT(B26,"00")),PLAYERS,5,FALSE)),"k")</f>
        <v>150k</v>
      </c>
    </row>
    <row r="27" spans="1:14" x14ac:dyDescent="0.25">
      <c r="D27" s="17" t="s">
        <v>580</v>
      </c>
      <c r="E27" s="17" t="str">
        <f>CONCATENATE(VLOOKUP(A20,TEAMS,5,FALSE),"k")</f>
        <v>60k</v>
      </c>
      <c r="F27" s="358" t="s">
        <v>584</v>
      </c>
      <c r="G27" s="358"/>
      <c r="H27" s="358"/>
      <c r="I27" s="358"/>
      <c r="J27" s="48" t="str">
        <f>VLOOKUP(A20,TEAMS,6,FALSE)</f>
        <v>Yes</v>
      </c>
      <c r="K27" s="359" t="s">
        <v>585</v>
      </c>
      <c r="L27" s="359"/>
      <c r="M27" s="359"/>
      <c r="N27" s="51">
        <f>VLOOKUP(A20,TEAMS,8,FALSE)</f>
        <v>5</v>
      </c>
    </row>
    <row r="28" spans="1:14" ht="15" customHeight="1" x14ac:dyDescent="0.25">
      <c r="D28" s="358" t="s">
        <v>586</v>
      </c>
      <c r="E28" s="358"/>
      <c r="F28" s="360" t="str">
        <f>IFERROR(VLOOKUP(LEFT(VLOOKUP(A22,TEAMS,7,FALSE),3),SpecialRules,3,FALSE) &amp; VLOOKUP(MID(VLOOKUP(A22,TEAMS,7,FALSE),4,3),SpecialRules,3,FALSE),"")</f>
        <v/>
      </c>
      <c r="G28" s="360"/>
      <c r="H28" s="360"/>
      <c r="I28" s="360"/>
      <c r="J28" s="360"/>
      <c r="K28" s="360"/>
      <c r="L28" s="360"/>
      <c r="M28" s="360"/>
      <c r="N28" s="360"/>
    </row>
    <row r="29" spans="1:14" x14ac:dyDescent="0.25">
      <c r="D29" s="362" t="s">
        <v>588</v>
      </c>
      <c r="E29" s="362"/>
      <c r="F29" s="362"/>
      <c r="G29" s="362"/>
      <c r="H29" s="362"/>
      <c r="I29" s="362"/>
      <c r="J29" s="362"/>
      <c r="K29" s="362"/>
      <c r="L29" s="362"/>
      <c r="M29" s="362"/>
      <c r="N29" s="362"/>
    </row>
    <row r="30" spans="1:14" x14ac:dyDescent="0.25">
      <c r="D30" s="148"/>
      <c r="E30" s="148"/>
      <c r="F30" s="148"/>
      <c r="G30" s="148"/>
      <c r="H30" s="148"/>
      <c r="I30" s="148"/>
      <c r="J30" s="148"/>
      <c r="K30" s="148"/>
      <c r="L30" s="148"/>
      <c r="M30" s="148"/>
      <c r="N30" s="148"/>
    </row>
    <row r="31" spans="1:14" ht="21" x14ac:dyDescent="0.35">
      <c r="A31" s="6" t="s">
        <v>81</v>
      </c>
      <c r="B31" s="6">
        <v>4</v>
      </c>
      <c r="D31" s="354" t="str">
        <f>A31</f>
        <v>Chaos Dwarf</v>
      </c>
      <c r="E31" s="355"/>
      <c r="F31" s="355"/>
      <c r="G31" s="355"/>
      <c r="H31" s="355"/>
      <c r="I31" s="355"/>
      <c r="J31" s="355"/>
      <c r="K31" s="355"/>
      <c r="L31" s="355"/>
      <c r="M31" s="355"/>
      <c r="N31" s="356"/>
    </row>
    <row r="32" spans="1:14" x14ac:dyDescent="0.25">
      <c r="A32" s="6" t="s">
        <v>81</v>
      </c>
      <c r="D32" s="17" t="s">
        <v>765</v>
      </c>
      <c r="E32" s="17" t="s">
        <v>3</v>
      </c>
      <c r="F32" s="48" t="s">
        <v>4</v>
      </c>
      <c r="G32" s="48" t="s">
        <v>5</v>
      </c>
      <c r="H32" s="48" t="s">
        <v>6</v>
      </c>
      <c r="I32" s="48" t="s">
        <v>7</v>
      </c>
      <c r="J32" s="48" t="s">
        <v>8</v>
      </c>
      <c r="K32" s="17" t="s">
        <v>566</v>
      </c>
      <c r="L32" s="17" t="s">
        <v>578</v>
      </c>
      <c r="M32" s="17" t="s">
        <v>579</v>
      </c>
      <c r="N32" s="51" t="s">
        <v>715</v>
      </c>
    </row>
    <row r="33" spans="1:14" x14ac:dyDescent="0.25">
      <c r="A33" s="6" t="s">
        <v>81</v>
      </c>
      <c r="B33" s="6">
        <v>1</v>
      </c>
      <c r="D33" s="49" t="str">
        <f>CONCATENATE("0-",VLOOKUP(CONCATENATE(VLOOKUP(A33,TEAMS,2,FALSE),TEXT(B33,"00")),PLAYERS,$D$1,FALSE),IF(VLOOKUP(CONCATENATE(VLOOKUP(A33,TEAMS,2,FALSE),TEXT(B33,"00")),PLAYERS,$D$1+1,FALSE)="BG"," *",""))</f>
        <v>0-16</v>
      </c>
      <c r="E33" s="50" t="str">
        <f>VLOOKUP(CONCATENATE(VLOOKUP(A33,TEAMS,2,FALSE),TEXT($B33,"00")),PLAYERS,E$1,FALSE)</f>
        <v>Hobgoblin Lineman</v>
      </c>
      <c r="F33" s="48">
        <f>VLOOKUP(CONCATENATE(VLOOKUP(A33,TEAMS,2,FALSE),TEXT($B33,"00")),PLAYERS,F$1,FALSE)</f>
        <v>6</v>
      </c>
      <c r="G33" s="48">
        <f>VLOOKUP(CONCATENATE(VLOOKUP(A33,TEAMS,2,FALSE),TEXT($B33,"00")),PLAYERS,G$1,FALSE)</f>
        <v>3</v>
      </c>
      <c r="H33" s="48" t="str">
        <f>CONCATENATE(VLOOKUP(CONCATENATE(VLOOKUP(A33,TEAMS,2,FALSE),TEXT($B33,"00")),PLAYERS,H$1,FALSE),"+")</f>
        <v>3+</v>
      </c>
      <c r="I33" s="48" t="str">
        <f>CONCATENATE(VLOOKUP(CONCATENATE(VLOOKUP(A33,TEAMS,2,FALSE),TEXT($B33,"00")),PLAYERS,I$1,FALSE),IF(VLOOKUP(CONCATENATE(VLOOKUP(A33,TEAMS,2,FALSE),TEXT($B33,"00")),PLAYERS,I$1,FALSE)="-","","+"))</f>
        <v>4+</v>
      </c>
      <c r="J33" s="48" t="str">
        <f>CONCATENATE(VLOOKUP(CONCATENATE(VLOOKUP(A33,TEAMS,2,FALSE),TEXT($B33,"00")),PLAYERS,J$1,FALSE),"+")</f>
        <v>8+</v>
      </c>
      <c r="K33" s="50" t="str">
        <f>VLOOKUP(CONCATENATE(VLOOKUP(A33,TEAMS,2,FALSE),TEXT($B33,"00")),PLAYERS,K$1,FALSE)</f>
        <v>None</v>
      </c>
      <c r="L33" s="49" t="str">
        <f>VLOOKUP(CONCATENATE(VLOOKUP(A33,TEAMS,2,FALSE),TEXT($B33,"00")),PLAYERS,L$1,FALSE)</f>
        <v>G</v>
      </c>
      <c r="M33" s="49" t="str">
        <f>VLOOKUP(CONCATENATE(VLOOKUP(A33,TEAMS,2,FALSE),TEXT($B33,"00")),PLAYERS,M$1,FALSE)</f>
        <v>AS</v>
      </c>
      <c r="N33" s="48" t="str">
        <f>CONCATENATE(ABS(VLOOKUP(CONCATENATE(VLOOKUP(A33,TEAMS,2,FALSE),TEXT(B33,"00")),PLAYERS,5,FALSE)),"k")</f>
        <v>40k</v>
      </c>
    </row>
    <row r="34" spans="1:14" x14ac:dyDescent="0.25">
      <c r="A34" s="6" t="s">
        <v>81</v>
      </c>
      <c r="B34" s="6">
        <v>2</v>
      </c>
      <c r="D34" s="49" t="str">
        <f>CONCATENATE("0-",VLOOKUP(CONCATENATE(VLOOKUP(A34,TEAMS,2,FALSE),TEXT(B34,"00")),PLAYERS,$D$1,FALSE),IF(VLOOKUP(CONCATENATE(VLOOKUP(A34,TEAMS,2,FALSE),TEXT(B34,"00")),PLAYERS,$D$1+1,FALSE)="BG"," *",""))</f>
        <v>0-6</v>
      </c>
      <c r="E34" s="50" t="str">
        <f>VLOOKUP(CONCATENATE(VLOOKUP(A34,TEAMS,2,FALSE),TEXT($B34,"00")),PLAYERS,E$1,FALSE)</f>
        <v>Chaos Dwarf Blocker</v>
      </c>
      <c r="F34" s="48">
        <f>VLOOKUP(CONCATENATE(VLOOKUP(A34,TEAMS,2,FALSE),TEXT($B34,"00")),PLAYERS,F$1,FALSE)</f>
        <v>4</v>
      </c>
      <c r="G34" s="48">
        <f>VLOOKUP(CONCATENATE(VLOOKUP(A34,TEAMS,2,FALSE),TEXT($B34,"00")),PLAYERS,G$1,FALSE)</f>
        <v>3</v>
      </c>
      <c r="H34" s="48" t="str">
        <f>CONCATENATE(VLOOKUP(CONCATENATE(VLOOKUP(A34,TEAMS,2,FALSE),TEXT($B34,"00")),PLAYERS,H$1,FALSE),"+")</f>
        <v>4+</v>
      </c>
      <c r="I34" s="48" t="str">
        <f>CONCATENATE(VLOOKUP(CONCATENATE(VLOOKUP(A34,TEAMS,2,FALSE),TEXT($B34,"00")),PLAYERS,I$1,FALSE),IF(VLOOKUP(CONCATENATE(VLOOKUP(A34,TEAMS,2,FALSE),TEXT($B34,"00")),PLAYERS,I$1,FALSE)="-","","+"))</f>
        <v>6+</v>
      </c>
      <c r="J34" s="48" t="str">
        <f>CONCATENATE(VLOOKUP(CONCATENATE(VLOOKUP(A34,TEAMS,2,FALSE),TEXT($B34,"00")),PLAYERS,J$1,FALSE),"+")</f>
        <v>10+</v>
      </c>
      <c r="K34" s="50" t="str">
        <f>VLOOKUP(CONCATENATE(VLOOKUP(A34,TEAMS,2,FALSE),TEXT($B34,"00")),PLAYERS,K$1,FALSE)</f>
        <v>Block, Tackle, Thick Skull</v>
      </c>
      <c r="L34" s="49" t="str">
        <f>VLOOKUP(CONCATENATE(VLOOKUP(A34,TEAMS,2,FALSE),TEXT($B34,"00")),PLAYERS,L$1,FALSE)</f>
        <v>GS</v>
      </c>
      <c r="M34" s="49" t="str">
        <f>VLOOKUP(CONCATENATE(VLOOKUP(A34,TEAMS,2,FALSE),TEXT($B34,"00")),PLAYERS,M$1,FALSE)</f>
        <v>AM</v>
      </c>
      <c r="N34" s="48" t="str">
        <f>CONCATENATE(ABS(VLOOKUP(CONCATENATE(VLOOKUP(A34,TEAMS,2,FALSE),TEXT(B34,"00")),PLAYERS,5,FALSE)),"k")</f>
        <v>70k</v>
      </c>
    </row>
    <row r="35" spans="1:14" x14ac:dyDescent="0.25">
      <c r="A35" s="6" t="s">
        <v>81</v>
      </c>
      <c r="B35" s="6">
        <v>3</v>
      </c>
      <c r="D35" s="49" t="str">
        <f>CONCATENATE("0-",VLOOKUP(CONCATENATE(VLOOKUP(A35,TEAMS,2,FALSE),TEXT(B35,"00")),PLAYERS,$D$1,FALSE),IF(VLOOKUP(CONCATENATE(VLOOKUP(A35,TEAMS,2,FALSE),TEXT(B35,"00")),PLAYERS,$D$1+1,FALSE)="BG"," *",""))</f>
        <v>0-2</v>
      </c>
      <c r="E35" s="50" t="str">
        <f>VLOOKUP(CONCATENATE(VLOOKUP(A35,TEAMS,2,FALSE),TEXT($B35,"00")),PLAYERS,E$1,FALSE)</f>
        <v>Bull Centaur Blitzer</v>
      </c>
      <c r="F35" s="48">
        <f>VLOOKUP(CONCATENATE(VLOOKUP(A35,TEAMS,2,FALSE),TEXT($B35,"00")),PLAYERS,F$1,FALSE)</f>
        <v>6</v>
      </c>
      <c r="G35" s="48">
        <f>VLOOKUP(CONCATENATE(VLOOKUP(A35,TEAMS,2,FALSE),TEXT($B35,"00")),PLAYERS,G$1,FALSE)</f>
        <v>4</v>
      </c>
      <c r="H35" s="48" t="str">
        <f>CONCATENATE(VLOOKUP(CONCATENATE(VLOOKUP(A35,TEAMS,2,FALSE),TEXT($B35,"00")),PLAYERS,H$1,FALSE),"+")</f>
        <v>4+</v>
      </c>
      <c r="I35" s="48" t="str">
        <f>CONCATENATE(VLOOKUP(CONCATENATE(VLOOKUP(A35,TEAMS,2,FALSE),TEXT($B35,"00")),PLAYERS,I$1,FALSE),IF(VLOOKUP(CONCATENATE(VLOOKUP(A35,TEAMS,2,FALSE),TEXT($B35,"00")),PLAYERS,I$1,FALSE)="-","","+"))</f>
        <v>6+</v>
      </c>
      <c r="J35" s="48" t="str">
        <f>CONCATENATE(VLOOKUP(CONCATENATE(VLOOKUP(A35,TEAMS,2,FALSE),TEXT($B35,"00")),PLAYERS,J$1,FALSE),"+")</f>
        <v>10+</v>
      </c>
      <c r="K35" s="50" t="str">
        <f>VLOOKUP(CONCATENATE(VLOOKUP(A35,TEAMS,2,FALSE),TEXT($B35,"00")),PLAYERS,K$1,FALSE)</f>
        <v>Sprint, Sure Feet, Thick Skull</v>
      </c>
      <c r="L35" s="49" t="str">
        <f>VLOOKUP(CONCATENATE(VLOOKUP(A35,TEAMS,2,FALSE),TEXT($B35,"00")),PLAYERS,L$1,FALSE)</f>
        <v>GS</v>
      </c>
      <c r="M35" s="49" t="str">
        <f>VLOOKUP(CONCATENATE(VLOOKUP(A35,TEAMS,2,FALSE),TEXT($B35,"00")),PLAYERS,M$1,FALSE)</f>
        <v>A</v>
      </c>
      <c r="N35" s="48" t="str">
        <f>CONCATENATE(ABS(VLOOKUP(CONCATENATE(VLOOKUP(A35,TEAMS,2,FALSE),TEXT(B35,"00")),PLAYERS,5,FALSE)),"k")</f>
        <v>130k</v>
      </c>
    </row>
    <row r="36" spans="1:14" ht="30" x14ac:dyDescent="0.25">
      <c r="A36" s="6" t="s">
        <v>81</v>
      </c>
      <c r="B36" s="6">
        <v>4</v>
      </c>
      <c r="D36" s="49" t="str">
        <f>CONCATENATE("0-",VLOOKUP(CONCATENATE(VLOOKUP(A36,TEAMS,2,FALSE),TEXT(B36,"00")),PLAYERS,$D$1,FALSE),IF(VLOOKUP(CONCATENATE(VLOOKUP(A36,TEAMS,2,FALSE),TEXT(B36,"00")),PLAYERS,$D$1+1,FALSE)="BG"," *",""))</f>
        <v>0-1</v>
      </c>
      <c r="E36" s="50" t="str">
        <f>VLOOKUP(CONCATENATE(VLOOKUP(A36,TEAMS,2,FALSE),TEXT($B36,"00")),PLAYERS,E$1,FALSE)</f>
        <v>Enslaved Minotaur</v>
      </c>
      <c r="F36" s="48">
        <f>VLOOKUP(CONCATENATE(VLOOKUP(A36,TEAMS,2,FALSE),TEXT($B36,"00")),PLAYERS,F$1,FALSE)</f>
        <v>5</v>
      </c>
      <c r="G36" s="48">
        <f>VLOOKUP(CONCATENATE(VLOOKUP(A36,TEAMS,2,FALSE),TEXT($B36,"00")),PLAYERS,G$1,FALSE)</f>
        <v>5</v>
      </c>
      <c r="H36" s="48" t="str">
        <f>CONCATENATE(VLOOKUP(CONCATENATE(VLOOKUP(A36,TEAMS,2,FALSE),TEXT($B36,"00")),PLAYERS,H$1,FALSE),"+")</f>
        <v>4+</v>
      </c>
      <c r="I36" s="48" t="str">
        <f>CONCATENATE(VLOOKUP(CONCATENATE(VLOOKUP(A36,TEAMS,2,FALSE),TEXT($B36,"00")),PLAYERS,I$1,FALSE),IF(VLOOKUP(CONCATENATE(VLOOKUP(A36,TEAMS,2,FALSE),TEXT($B36,"00")),PLAYERS,I$1,FALSE)="-","","+"))</f>
        <v>-</v>
      </c>
      <c r="J36" s="48" t="str">
        <f>CONCATENATE(VLOOKUP(CONCATENATE(VLOOKUP(A36,TEAMS,2,FALSE),TEXT($B36,"00")),PLAYERS,J$1,FALSE),"+")</f>
        <v>9+</v>
      </c>
      <c r="K36" s="50" t="str">
        <f>VLOOKUP(CONCATENATE(VLOOKUP(A36,TEAMS,2,FALSE),TEXT($B36,"00")),PLAYERS,K$1,FALSE)</f>
        <v>Animal Savagery*, Frenzy*, Horns, Loner (4+)*, Mighty Blow (+1), Thick Skull</v>
      </c>
      <c r="L36" s="49" t="str">
        <f>VLOOKUP(CONCATENATE(VLOOKUP(A36,TEAMS,2,FALSE),TEXT($B36,"00")),PLAYERS,L$1,FALSE)</f>
        <v>S</v>
      </c>
      <c r="M36" s="49" t="str">
        <f>VLOOKUP(CONCATENATE(VLOOKUP(A36,TEAMS,2,FALSE),TEXT($B36,"00")),PLAYERS,M$1,FALSE)</f>
        <v>AGM</v>
      </c>
      <c r="N36" s="48" t="str">
        <f>CONCATENATE(ABS(VLOOKUP(CONCATENATE(VLOOKUP(A36,TEAMS,2,FALSE),TEXT(B36,"00")),PLAYERS,5,FALSE)),"k")</f>
        <v>150k</v>
      </c>
    </row>
    <row r="37" spans="1:14" x14ac:dyDescent="0.25">
      <c r="D37" s="17" t="s">
        <v>580</v>
      </c>
      <c r="E37" s="17" t="str">
        <f>CONCATENATE(VLOOKUP(A31,TEAMS,5,FALSE),"k")</f>
        <v>70k</v>
      </c>
      <c r="F37" s="364" t="s">
        <v>584</v>
      </c>
      <c r="G37" s="369"/>
      <c r="H37" s="369"/>
      <c r="I37" s="365"/>
      <c r="J37" s="48" t="str">
        <f>VLOOKUP(A31,TEAMS,6,FALSE)</f>
        <v>Yes</v>
      </c>
      <c r="K37" s="366" t="s">
        <v>585</v>
      </c>
      <c r="L37" s="367"/>
      <c r="M37" s="368"/>
      <c r="N37" s="51">
        <f>VLOOKUP(A31,TEAMS,8,FALSE)</f>
        <v>1</v>
      </c>
    </row>
    <row r="38" spans="1:14" x14ac:dyDescent="0.25">
      <c r="D38" s="364" t="s">
        <v>586</v>
      </c>
      <c r="E38" s="365"/>
      <c r="F38" s="360" t="str">
        <f>IFERROR(VLOOKUP(LEFT(VLOOKUP(A32,TEAMS,7,FALSE),3),SpecialRules,3,FALSE) &amp; VLOOKUP(MID(VLOOKUP(A32,TEAMS,7,FALSE),4,3),SpecialRules,3,FALSE),"")</f>
        <v/>
      </c>
      <c r="G38" s="360"/>
      <c r="H38" s="360"/>
      <c r="I38" s="360"/>
      <c r="J38" s="360"/>
      <c r="K38" s="360"/>
      <c r="L38" s="360"/>
      <c r="M38" s="360"/>
      <c r="N38" s="360"/>
    </row>
    <row r="39" spans="1:14" x14ac:dyDescent="0.25">
      <c r="D39" s="363"/>
      <c r="E39" s="363"/>
      <c r="F39" s="363"/>
      <c r="G39" s="363"/>
      <c r="H39" s="363"/>
      <c r="I39" s="363"/>
      <c r="J39" s="363"/>
      <c r="K39" s="363"/>
      <c r="L39" s="363"/>
      <c r="M39" s="363"/>
      <c r="N39" s="363"/>
    </row>
    <row r="40" spans="1:14" ht="21.6" customHeight="1" x14ac:dyDescent="0.35">
      <c r="A40" s="6" t="s">
        <v>82</v>
      </c>
      <c r="B40" s="6">
        <v>10</v>
      </c>
      <c r="D40" s="354" t="str">
        <f>A40</f>
        <v>Chaos Renegade</v>
      </c>
      <c r="E40" s="355"/>
      <c r="F40" s="355"/>
      <c r="G40" s="355"/>
      <c r="H40" s="355"/>
      <c r="I40" s="355"/>
      <c r="J40" s="355"/>
      <c r="K40" s="355"/>
      <c r="L40" s="355"/>
      <c r="M40" s="355"/>
      <c r="N40" s="356"/>
    </row>
    <row r="41" spans="1:14" x14ac:dyDescent="0.25">
      <c r="A41" s="6" t="s">
        <v>82</v>
      </c>
      <c r="D41" s="17" t="s">
        <v>765</v>
      </c>
      <c r="E41" s="17" t="s">
        <v>3</v>
      </c>
      <c r="F41" s="48" t="s">
        <v>4</v>
      </c>
      <c r="G41" s="48" t="s">
        <v>5</v>
      </c>
      <c r="H41" s="48" t="s">
        <v>6</v>
      </c>
      <c r="I41" s="48" t="s">
        <v>7</v>
      </c>
      <c r="J41" s="48" t="s">
        <v>8</v>
      </c>
      <c r="K41" s="17" t="s">
        <v>566</v>
      </c>
      <c r="L41" s="17" t="s">
        <v>578</v>
      </c>
      <c r="M41" s="17" t="s">
        <v>579</v>
      </c>
      <c r="N41" s="51" t="s">
        <v>715</v>
      </c>
    </row>
    <row r="42" spans="1:14" ht="30" x14ac:dyDescent="0.25">
      <c r="A42" s="6" t="s">
        <v>82</v>
      </c>
      <c r="B42" s="6">
        <v>1</v>
      </c>
      <c r="D42" s="49" t="str">
        <f t="shared" ref="D42:D51" si="0">CONCATENATE("0-",VLOOKUP(CONCATENATE(VLOOKUP(A42,TEAMS,2,FALSE),TEXT(B42,"00")),PLAYERS,$D$1,FALSE),IF(VLOOKUP(CONCATENATE(VLOOKUP(A42,TEAMS,2,FALSE),TEXT(B42,"00")),PLAYERS,$D$1+1,FALSE)="BG"," *",""))</f>
        <v>0-12</v>
      </c>
      <c r="E42" s="50" t="str">
        <f t="shared" ref="E42:E51" si="1">VLOOKUP(CONCATENATE(VLOOKUP(A42,TEAMS,2,FALSE),TEXT($B42,"00")),PLAYERS,E$1,FALSE)</f>
        <v>Renegade Human Lineman</v>
      </c>
      <c r="F42" s="48">
        <f t="shared" ref="F42:F51" si="2">VLOOKUP(CONCATENATE(VLOOKUP(A42,TEAMS,2,FALSE),TEXT($B42,"00")),PLAYERS,F$1,FALSE)</f>
        <v>6</v>
      </c>
      <c r="G42" s="48">
        <f t="shared" ref="G42:G51" si="3">VLOOKUP(CONCATENATE(VLOOKUP(A42,TEAMS,2,FALSE),TEXT($B42,"00")),PLAYERS,G$1,FALSE)</f>
        <v>3</v>
      </c>
      <c r="H42" s="48" t="str">
        <f t="shared" ref="H42:H51" si="4">CONCATENATE(VLOOKUP(CONCATENATE(VLOOKUP(A42,TEAMS,2,FALSE),TEXT($B42,"00")),PLAYERS,H$1,FALSE),"+")</f>
        <v>3+</v>
      </c>
      <c r="I42" s="48" t="str">
        <f t="shared" ref="I42:I51" si="5">CONCATENATE(VLOOKUP(CONCATENATE(VLOOKUP(A42,TEAMS,2,FALSE),TEXT($B42,"00")),PLAYERS,I$1,FALSE),IF(VLOOKUP(CONCATENATE(VLOOKUP(A42,TEAMS,2,FALSE),TEXT($B42,"00")),PLAYERS,I$1,FALSE)="-","","+"))</f>
        <v>4+</v>
      </c>
      <c r="J42" s="48" t="str">
        <f t="shared" ref="J42:J51" si="6">CONCATENATE(VLOOKUP(CONCATENATE(VLOOKUP(A42,TEAMS,2,FALSE),TEXT($B42,"00")),PLAYERS,J$1,FALSE),"+")</f>
        <v>9+</v>
      </c>
      <c r="K42" s="50" t="str">
        <f t="shared" ref="K42:K51" si="7">VLOOKUP(CONCATENATE(VLOOKUP(A42,TEAMS,2,FALSE),TEXT($B42,"00")),PLAYERS,K$1,FALSE)</f>
        <v>None</v>
      </c>
      <c r="L42" s="49" t="str">
        <f t="shared" ref="L42:L51" si="8">VLOOKUP(CONCATENATE(VLOOKUP(A42,TEAMS,2,FALSE),TEXT($B42,"00")),PLAYERS,L$1,FALSE)</f>
        <v>GM</v>
      </c>
      <c r="M42" s="49" t="str">
        <f t="shared" ref="M42:M51" si="9">VLOOKUP(CONCATENATE(VLOOKUP(A42,TEAMS,2,FALSE),TEXT($B42,"00")),PLAYERS,M$1,FALSE)</f>
        <v>AS</v>
      </c>
      <c r="N42" s="48" t="str">
        <f t="shared" ref="N42:N51" si="10">CONCATENATE(ABS(VLOOKUP(CONCATENATE(VLOOKUP(A42,TEAMS,2,FALSE),TEXT(B42,"00")),PLAYERS,5,FALSE)),"k")</f>
        <v>50k</v>
      </c>
    </row>
    <row r="43" spans="1:14" ht="30" x14ac:dyDescent="0.25">
      <c r="A43" s="6" t="s">
        <v>82</v>
      </c>
      <c r="B43" s="6">
        <v>2</v>
      </c>
      <c r="D43" s="49" t="str">
        <f t="shared" si="0"/>
        <v>0-1</v>
      </c>
      <c r="E43" s="50" t="str">
        <f t="shared" si="1"/>
        <v>Renegade Human Thrower</v>
      </c>
      <c r="F43" s="48">
        <f t="shared" si="2"/>
        <v>6</v>
      </c>
      <c r="G43" s="48">
        <f t="shared" si="3"/>
        <v>3</v>
      </c>
      <c r="H43" s="48" t="str">
        <f t="shared" si="4"/>
        <v>3+</v>
      </c>
      <c r="I43" s="48" t="str">
        <f t="shared" si="5"/>
        <v>3+</v>
      </c>
      <c r="J43" s="48" t="str">
        <f t="shared" si="6"/>
        <v>9+</v>
      </c>
      <c r="K43" s="50" t="str">
        <f t="shared" si="7"/>
        <v>Animosity (all)*, Pass, Safe Pair of Hands</v>
      </c>
      <c r="L43" s="49" t="str">
        <f t="shared" si="8"/>
        <v>GMP</v>
      </c>
      <c r="M43" s="49" t="str">
        <f t="shared" si="9"/>
        <v>AS</v>
      </c>
      <c r="N43" s="48" t="str">
        <f t="shared" si="10"/>
        <v>75k</v>
      </c>
    </row>
    <row r="44" spans="1:14" x14ac:dyDescent="0.25">
      <c r="A44" s="6" t="s">
        <v>82</v>
      </c>
      <c r="B44" s="6">
        <v>3</v>
      </c>
      <c r="D44" s="49" t="str">
        <f t="shared" si="0"/>
        <v>0-1</v>
      </c>
      <c r="E44" s="50" t="str">
        <f t="shared" si="1"/>
        <v>Renegade Goblin</v>
      </c>
      <c r="F44" s="48">
        <f t="shared" si="2"/>
        <v>6</v>
      </c>
      <c r="G44" s="48">
        <f t="shared" si="3"/>
        <v>2</v>
      </c>
      <c r="H44" s="48" t="str">
        <f t="shared" si="4"/>
        <v>3+</v>
      </c>
      <c r="I44" s="48" t="str">
        <f t="shared" si="5"/>
        <v>4+</v>
      </c>
      <c r="J44" s="48" t="str">
        <f t="shared" si="6"/>
        <v>8+</v>
      </c>
      <c r="K44" s="50" t="str">
        <f t="shared" si="7"/>
        <v>Animosity (all)*, Dodge, Right Stuff*, Stunty*</v>
      </c>
      <c r="L44" s="49" t="str">
        <f t="shared" si="8"/>
        <v>AM</v>
      </c>
      <c r="M44" s="49" t="str">
        <f t="shared" si="9"/>
        <v>GP</v>
      </c>
      <c r="N44" s="48" t="str">
        <f t="shared" si="10"/>
        <v>40k</v>
      </c>
    </row>
    <row r="45" spans="1:14" x14ac:dyDescent="0.25">
      <c r="A45" s="6" t="s">
        <v>82</v>
      </c>
      <c r="B45" s="6">
        <v>4</v>
      </c>
      <c r="D45" s="49" t="str">
        <f t="shared" si="0"/>
        <v>0-1</v>
      </c>
      <c r="E45" s="50" t="str">
        <f t="shared" si="1"/>
        <v>Renegade Orc</v>
      </c>
      <c r="F45" s="48">
        <f t="shared" si="2"/>
        <v>5</v>
      </c>
      <c r="G45" s="48">
        <f t="shared" si="3"/>
        <v>3</v>
      </c>
      <c r="H45" s="48" t="str">
        <f t="shared" si="4"/>
        <v>3+</v>
      </c>
      <c r="I45" s="48" t="str">
        <f t="shared" si="5"/>
        <v>5+</v>
      </c>
      <c r="J45" s="48" t="str">
        <f t="shared" si="6"/>
        <v>10+</v>
      </c>
      <c r="K45" s="50" t="str">
        <f t="shared" si="7"/>
        <v>Animosity (all)*</v>
      </c>
      <c r="L45" s="49" t="str">
        <f t="shared" si="8"/>
        <v>GM</v>
      </c>
      <c r="M45" s="49" t="str">
        <f t="shared" si="9"/>
        <v>AS</v>
      </c>
      <c r="N45" s="48" t="str">
        <f t="shared" si="10"/>
        <v>50k</v>
      </c>
    </row>
    <row r="46" spans="1:14" x14ac:dyDescent="0.25">
      <c r="A46" s="6" t="s">
        <v>82</v>
      </c>
      <c r="B46" s="6">
        <v>5</v>
      </c>
      <c r="D46" s="49" t="str">
        <f t="shared" si="0"/>
        <v>0-1</v>
      </c>
      <c r="E46" s="50" t="str">
        <f t="shared" si="1"/>
        <v>Renegade Skaven</v>
      </c>
      <c r="F46" s="48">
        <f t="shared" si="2"/>
        <v>7</v>
      </c>
      <c r="G46" s="48">
        <f t="shared" si="3"/>
        <v>3</v>
      </c>
      <c r="H46" s="48" t="str">
        <f t="shared" si="4"/>
        <v>3+</v>
      </c>
      <c r="I46" s="48" t="str">
        <f t="shared" si="5"/>
        <v>4+</v>
      </c>
      <c r="J46" s="48" t="str">
        <f t="shared" si="6"/>
        <v>8+</v>
      </c>
      <c r="K46" s="50" t="str">
        <f t="shared" si="7"/>
        <v>Animosity (all)*</v>
      </c>
      <c r="L46" s="49" t="str">
        <f t="shared" si="8"/>
        <v>GM</v>
      </c>
      <c r="M46" s="49" t="str">
        <f t="shared" si="9"/>
        <v>AS</v>
      </c>
      <c r="N46" s="48" t="str">
        <f t="shared" si="10"/>
        <v>50k</v>
      </c>
    </row>
    <row r="47" spans="1:14" x14ac:dyDescent="0.25">
      <c r="A47" s="6" t="s">
        <v>82</v>
      </c>
      <c r="B47" s="6">
        <v>6</v>
      </c>
      <c r="D47" s="49" t="str">
        <f t="shared" si="0"/>
        <v>0-1</v>
      </c>
      <c r="E47" s="50" t="str">
        <f t="shared" si="1"/>
        <v>Renegade Dark Elf</v>
      </c>
      <c r="F47" s="48">
        <f t="shared" si="2"/>
        <v>6</v>
      </c>
      <c r="G47" s="48">
        <f t="shared" si="3"/>
        <v>3</v>
      </c>
      <c r="H47" s="48" t="str">
        <f t="shared" si="4"/>
        <v>2+</v>
      </c>
      <c r="I47" s="48" t="str">
        <f t="shared" si="5"/>
        <v>3+</v>
      </c>
      <c r="J47" s="48" t="str">
        <f t="shared" si="6"/>
        <v>9+</v>
      </c>
      <c r="K47" s="50" t="str">
        <f t="shared" si="7"/>
        <v>Animosity (all)*</v>
      </c>
      <c r="L47" s="49" t="str">
        <f t="shared" si="8"/>
        <v>AGM</v>
      </c>
      <c r="M47" s="49" t="str">
        <f t="shared" si="9"/>
        <v>PS</v>
      </c>
      <c r="N47" s="48" t="str">
        <f t="shared" si="10"/>
        <v>75k</v>
      </c>
    </row>
    <row r="48" spans="1:14" ht="45" x14ac:dyDescent="0.25">
      <c r="A48" s="6" t="s">
        <v>82</v>
      </c>
      <c r="B48" s="6">
        <v>7</v>
      </c>
      <c r="D48" s="49" t="str">
        <f t="shared" si="0"/>
        <v>0-1 *</v>
      </c>
      <c r="E48" s="50" t="str">
        <f t="shared" si="1"/>
        <v>Renegade Troll</v>
      </c>
      <c r="F48" s="48">
        <f t="shared" si="2"/>
        <v>4</v>
      </c>
      <c r="G48" s="48">
        <f t="shared" si="3"/>
        <v>5</v>
      </c>
      <c r="H48" s="48" t="str">
        <f t="shared" si="4"/>
        <v>5+</v>
      </c>
      <c r="I48" s="48" t="str">
        <f t="shared" si="5"/>
        <v>5+</v>
      </c>
      <c r="J48" s="48" t="str">
        <f t="shared" si="6"/>
        <v>10+</v>
      </c>
      <c r="K48" s="50" t="str">
        <f t="shared" si="7"/>
        <v>Always Hungry*, Loner (4+)*, Mighty Blow (+1), Projectile Vomit, Really Stupid*, Regeneration, Throw Team-mate</v>
      </c>
      <c r="L48" s="49" t="str">
        <f t="shared" si="8"/>
        <v>S</v>
      </c>
      <c r="M48" s="49" t="str">
        <f t="shared" si="9"/>
        <v>AGM</v>
      </c>
      <c r="N48" s="48" t="str">
        <f t="shared" si="10"/>
        <v>115k</v>
      </c>
    </row>
    <row r="49" spans="1:14" ht="30" x14ac:dyDescent="0.25">
      <c r="A49" s="6" t="s">
        <v>82</v>
      </c>
      <c r="B49" s="6">
        <v>8</v>
      </c>
      <c r="D49" s="49" t="str">
        <f t="shared" si="0"/>
        <v>0-1 *</v>
      </c>
      <c r="E49" s="50" t="str">
        <f t="shared" si="1"/>
        <v>Renegade Ogre</v>
      </c>
      <c r="F49" s="48">
        <f t="shared" si="2"/>
        <v>5</v>
      </c>
      <c r="G49" s="48">
        <f t="shared" si="3"/>
        <v>5</v>
      </c>
      <c r="H49" s="48" t="str">
        <f t="shared" si="4"/>
        <v>4+</v>
      </c>
      <c r="I49" s="48" t="str">
        <f t="shared" si="5"/>
        <v>5+</v>
      </c>
      <c r="J49" s="48" t="str">
        <f t="shared" si="6"/>
        <v>10+</v>
      </c>
      <c r="K49" s="50" t="str">
        <f t="shared" si="7"/>
        <v>Bone Head*, Loner (4+)*, Mighty Blow (+1), Thick Skull, Throw Team-mate</v>
      </c>
      <c r="L49" s="49" t="str">
        <f t="shared" si="8"/>
        <v>S</v>
      </c>
      <c r="M49" s="49" t="str">
        <f t="shared" si="9"/>
        <v>AGM</v>
      </c>
      <c r="N49" s="48" t="str">
        <f t="shared" si="10"/>
        <v>140k</v>
      </c>
    </row>
    <row r="50" spans="1:14" ht="30" x14ac:dyDescent="0.25">
      <c r="A50" s="6" t="s">
        <v>82</v>
      </c>
      <c r="B50" s="6">
        <v>9</v>
      </c>
      <c r="D50" s="49" t="str">
        <f t="shared" si="0"/>
        <v>0-1 *</v>
      </c>
      <c r="E50" s="50" t="str">
        <f t="shared" si="1"/>
        <v>Renegade Minotaur</v>
      </c>
      <c r="F50" s="48">
        <f t="shared" si="2"/>
        <v>5</v>
      </c>
      <c r="G50" s="48">
        <f t="shared" si="3"/>
        <v>5</v>
      </c>
      <c r="H50" s="48" t="str">
        <f t="shared" si="4"/>
        <v>4+</v>
      </c>
      <c r="I50" s="48" t="str">
        <f t="shared" si="5"/>
        <v>-</v>
      </c>
      <c r="J50" s="48" t="str">
        <f t="shared" si="6"/>
        <v>9+</v>
      </c>
      <c r="K50" s="50" t="str">
        <f t="shared" si="7"/>
        <v>Loner (4+)*, Frenzy*, Horns, Mighty Blow (+1), Thick Skull, Unchannelled Fury*</v>
      </c>
      <c r="L50" s="49" t="str">
        <f t="shared" si="8"/>
        <v>S</v>
      </c>
      <c r="M50" s="49" t="str">
        <f t="shared" si="9"/>
        <v>AGM</v>
      </c>
      <c r="N50" s="48" t="str">
        <f t="shared" si="10"/>
        <v>150k</v>
      </c>
    </row>
    <row r="51" spans="1:14" ht="30" x14ac:dyDescent="0.25">
      <c r="A51" s="6" t="s">
        <v>82</v>
      </c>
      <c r="B51" s="6">
        <v>10</v>
      </c>
      <c r="D51" s="49" t="str">
        <f t="shared" si="0"/>
        <v>0-1 *</v>
      </c>
      <c r="E51" s="50" t="str">
        <f t="shared" si="1"/>
        <v>Renegade Rat Ogre</v>
      </c>
      <c r="F51" s="48">
        <f t="shared" si="2"/>
        <v>6</v>
      </c>
      <c r="G51" s="48">
        <f t="shared" si="3"/>
        <v>5</v>
      </c>
      <c r="H51" s="48" t="str">
        <f t="shared" si="4"/>
        <v>4+</v>
      </c>
      <c r="I51" s="48" t="str">
        <f t="shared" si="5"/>
        <v>-</v>
      </c>
      <c r="J51" s="48" t="str">
        <f t="shared" si="6"/>
        <v>9+</v>
      </c>
      <c r="K51" s="50" t="str">
        <f t="shared" si="7"/>
        <v>Animal Savagery*, Frenzy*, Loner (4+)*, Mighty Blow (+1), Prehensile Tail</v>
      </c>
      <c r="L51" s="49" t="str">
        <f t="shared" si="8"/>
        <v>S</v>
      </c>
      <c r="M51" s="49" t="str">
        <f t="shared" si="9"/>
        <v>AGM</v>
      </c>
      <c r="N51" s="48" t="str">
        <f t="shared" si="10"/>
        <v>150k</v>
      </c>
    </row>
    <row r="52" spans="1:14" x14ac:dyDescent="0.25">
      <c r="D52" s="17" t="s">
        <v>580</v>
      </c>
      <c r="E52" s="17" t="str">
        <f>CONCATENATE(VLOOKUP(A40,TEAMS,5,FALSE),"k")</f>
        <v>70k</v>
      </c>
      <c r="F52" s="358" t="s">
        <v>584</v>
      </c>
      <c r="G52" s="358"/>
      <c r="H52" s="358"/>
      <c r="I52" s="358"/>
      <c r="J52" s="48" t="str">
        <f>VLOOKUP(A40,TEAMS,6,FALSE)</f>
        <v>Yes</v>
      </c>
      <c r="K52" s="359" t="s">
        <v>585</v>
      </c>
      <c r="L52" s="359"/>
      <c r="M52" s="359"/>
      <c r="N52" s="51">
        <f>VLOOKUP(A40,TEAMS,8,FALSE)</f>
        <v>4</v>
      </c>
    </row>
    <row r="53" spans="1:14" ht="15" customHeight="1" x14ac:dyDescent="0.25">
      <c r="D53" s="358" t="s">
        <v>586</v>
      </c>
      <c r="E53" s="358"/>
      <c r="F53" s="360" t="str">
        <f>IFERROR(VLOOKUP(LEFT(VLOOKUP(A47,TEAMS,7,FALSE),3),SpecialRules,3,FALSE) &amp; VLOOKUP(MID(VLOOKUP(A47,TEAMS,7,FALSE),4,3),SpecialRules,3,FALSE),"")</f>
        <v/>
      </c>
      <c r="G53" s="360"/>
      <c r="H53" s="360"/>
      <c r="I53" s="360"/>
      <c r="J53" s="360"/>
      <c r="K53" s="360"/>
      <c r="L53" s="360"/>
      <c r="M53" s="360"/>
      <c r="N53" s="360"/>
    </row>
    <row r="54" spans="1:14" x14ac:dyDescent="0.25">
      <c r="D54" s="362" t="s">
        <v>589</v>
      </c>
      <c r="E54" s="362"/>
      <c r="F54" s="362"/>
      <c r="G54" s="362"/>
      <c r="H54" s="362"/>
      <c r="I54" s="362"/>
      <c r="J54" s="362"/>
      <c r="K54" s="362"/>
      <c r="L54" s="362"/>
      <c r="M54" s="362"/>
      <c r="N54" s="362"/>
    </row>
    <row r="55" spans="1:14" x14ac:dyDescent="0.25">
      <c r="D55" s="363"/>
      <c r="E55" s="363"/>
      <c r="F55" s="363"/>
      <c r="G55" s="363"/>
      <c r="H55" s="363"/>
      <c r="I55" s="363"/>
      <c r="J55" s="363"/>
      <c r="K55" s="363"/>
      <c r="L55" s="363"/>
      <c r="M55" s="363"/>
      <c r="N55" s="363"/>
    </row>
    <row r="56" spans="1:14" ht="21" x14ac:dyDescent="0.35">
      <c r="A56" s="6" t="s">
        <v>83</v>
      </c>
      <c r="B56" s="6">
        <v>5</v>
      </c>
      <c r="D56" s="354" t="str">
        <f>A56</f>
        <v>Dark Elf</v>
      </c>
      <c r="E56" s="355"/>
      <c r="F56" s="355"/>
      <c r="G56" s="355"/>
      <c r="H56" s="355"/>
      <c r="I56" s="355"/>
      <c r="J56" s="355"/>
      <c r="K56" s="355"/>
      <c r="L56" s="355"/>
      <c r="M56" s="355"/>
      <c r="N56" s="356"/>
    </row>
    <row r="57" spans="1:14" x14ac:dyDescent="0.25">
      <c r="A57" s="6" t="s">
        <v>83</v>
      </c>
      <c r="D57" s="17" t="s">
        <v>765</v>
      </c>
      <c r="E57" s="17" t="s">
        <v>3</v>
      </c>
      <c r="F57" s="48" t="s">
        <v>4</v>
      </c>
      <c r="G57" s="48" t="s">
        <v>5</v>
      </c>
      <c r="H57" s="48" t="s">
        <v>6</v>
      </c>
      <c r="I57" s="48" t="s">
        <v>7</v>
      </c>
      <c r="J57" s="48" t="s">
        <v>8</v>
      </c>
      <c r="K57" s="17" t="s">
        <v>566</v>
      </c>
      <c r="L57" s="17" t="s">
        <v>578</v>
      </c>
      <c r="M57" s="17" t="s">
        <v>579</v>
      </c>
      <c r="N57" s="51" t="s">
        <v>715</v>
      </c>
    </row>
    <row r="58" spans="1:14" x14ac:dyDescent="0.25">
      <c r="A58" s="6" t="s">
        <v>83</v>
      </c>
      <c r="B58" s="6">
        <v>1</v>
      </c>
      <c r="D58" s="49" t="str">
        <f>CONCATENATE("0-",VLOOKUP(CONCATENATE(VLOOKUP(A58,TEAMS,2,FALSE),TEXT(B58,"00")),PLAYERS,$D$1,FALSE),IF(VLOOKUP(CONCATENATE(VLOOKUP(A58,TEAMS,2,FALSE),TEXT(B58,"00")),PLAYERS,$D$1+1,FALSE)="BG"," *",""))</f>
        <v>0-12</v>
      </c>
      <c r="E58" s="50" t="str">
        <f>VLOOKUP(CONCATENATE(VLOOKUP(A58,TEAMS,2,FALSE),TEXT($B58,"00")),PLAYERS,E$1,FALSE)</f>
        <v>Dark Elf Lineman</v>
      </c>
      <c r="F58" s="48">
        <f>VLOOKUP(CONCATENATE(VLOOKUP(A58,TEAMS,2,FALSE),TEXT($B58,"00")),PLAYERS,F$1,FALSE)</f>
        <v>6</v>
      </c>
      <c r="G58" s="48">
        <f>VLOOKUP(CONCATENATE(VLOOKUP(A58,TEAMS,2,FALSE),TEXT($B58,"00")),PLAYERS,G$1,FALSE)</f>
        <v>3</v>
      </c>
      <c r="H58" s="48" t="str">
        <f>CONCATENATE(VLOOKUP(CONCATENATE(VLOOKUP(A58,TEAMS,2,FALSE),TEXT($B58,"00")),PLAYERS,H$1,FALSE),"+")</f>
        <v>2+</v>
      </c>
      <c r="I58" s="48" t="str">
        <f>CONCATENATE(VLOOKUP(CONCATENATE(VLOOKUP(A58,TEAMS,2,FALSE),TEXT($B58,"00")),PLAYERS,I$1,FALSE),IF(VLOOKUP(CONCATENATE(VLOOKUP(A58,TEAMS,2,FALSE),TEXT($B58,"00")),PLAYERS,I$1,FALSE)="-","","+"))</f>
        <v>4+</v>
      </c>
      <c r="J58" s="48" t="str">
        <f>CONCATENATE(VLOOKUP(CONCATENATE(VLOOKUP(A58,TEAMS,2,FALSE),TEXT($B58,"00")),PLAYERS,J$1,FALSE),"+")</f>
        <v>9+</v>
      </c>
      <c r="K58" s="50" t="str">
        <f>VLOOKUP(CONCATENATE(VLOOKUP(A58,TEAMS,2,FALSE),TEXT($B58,"00")),PLAYERS,K$1,FALSE)</f>
        <v>None</v>
      </c>
      <c r="L58" s="49" t="str">
        <f>VLOOKUP(CONCATENATE(VLOOKUP(A58,TEAMS,2,FALSE),TEXT($B58,"00")),PLAYERS,L$1,FALSE)</f>
        <v>AG</v>
      </c>
      <c r="M58" s="49" t="str">
        <f>VLOOKUP(CONCATENATE(VLOOKUP(A58,TEAMS,2,FALSE),TEXT($B58,"00")),PLAYERS,M$1,FALSE)</f>
        <v>S</v>
      </c>
      <c r="N58" s="48" t="str">
        <f>CONCATENATE(ABS(VLOOKUP(CONCATENATE(VLOOKUP(A58,TEAMS,2,FALSE),TEXT(B58,"00")),PLAYERS,5,FALSE)),"k")</f>
        <v>70k</v>
      </c>
    </row>
    <row r="59" spans="1:14" x14ac:dyDescent="0.25">
      <c r="A59" s="6" t="s">
        <v>83</v>
      </c>
      <c r="B59" s="6">
        <v>2</v>
      </c>
      <c r="D59" s="49" t="str">
        <f>CONCATENATE("0-",VLOOKUP(CONCATENATE(VLOOKUP(A59,TEAMS,2,FALSE),TEXT(B59,"00")),PLAYERS,$D$1,FALSE),IF(VLOOKUP(CONCATENATE(VLOOKUP(A59,TEAMS,2,FALSE),TEXT(B59,"00")),PLAYERS,$D$1+1,FALSE)="BG"," *",""))</f>
        <v>0-2</v>
      </c>
      <c r="E59" s="50" t="str">
        <f>VLOOKUP(CONCATENATE(VLOOKUP(A59,TEAMS,2,FALSE),TEXT($B59,"00")),PLAYERS,E$1,FALSE)</f>
        <v>Dark Elf Runner</v>
      </c>
      <c r="F59" s="48">
        <f>VLOOKUP(CONCATENATE(VLOOKUP(A59,TEAMS,2,FALSE),TEXT($B59,"00")),PLAYERS,F$1,FALSE)</f>
        <v>7</v>
      </c>
      <c r="G59" s="48">
        <f>VLOOKUP(CONCATENATE(VLOOKUP(A59,TEAMS,2,FALSE),TEXT($B59,"00")),PLAYERS,G$1,FALSE)</f>
        <v>3</v>
      </c>
      <c r="H59" s="48" t="str">
        <f>CONCATENATE(VLOOKUP(CONCATENATE(VLOOKUP(A59,TEAMS,2,FALSE),TEXT($B59,"00")),PLAYERS,H$1,FALSE),"+")</f>
        <v>2+</v>
      </c>
      <c r="I59" s="48" t="str">
        <f>CONCATENATE(VLOOKUP(CONCATENATE(VLOOKUP(A59,TEAMS,2,FALSE),TEXT($B59,"00")),PLAYERS,I$1,FALSE),IF(VLOOKUP(CONCATENATE(VLOOKUP(A59,TEAMS,2,FALSE),TEXT($B59,"00")),PLAYERS,I$1,FALSE)="-","","+"))</f>
        <v>3+</v>
      </c>
      <c r="J59" s="48" t="str">
        <f>CONCATENATE(VLOOKUP(CONCATENATE(VLOOKUP(A59,TEAMS,2,FALSE),TEXT($B59,"00")),PLAYERS,J$1,FALSE),"+")</f>
        <v>8+</v>
      </c>
      <c r="K59" s="50" t="str">
        <f>VLOOKUP(CONCATENATE(VLOOKUP(A59,TEAMS,2,FALSE),TEXT($B59,"00")),PLAYERS,K$1,FALSE)</f>
        <v>Dump-off</v>
      </c>
      <c r="L59" s="49" t="str">
        <f>VLOOKUP(CONCATENATE(VLOOKUP(A59,TEAMS,2,FALSE),TEXT($B59,"00")),PLAYERS,L$1,FALSE)</f>
        <v>AGP</v>
      </c>
      <c r="M59" s="49" t="str">
        <f>VLOOKUP(CONCATENATE(VLOOKUP(A59,TEAMS,2,FALSE),TEXT($B59,"00")),PLAYERS,M$1,FALSE)</f>
        <v>S</v>
      </c>
      <c r="N59" s="48" t="str">
        <f>CONCATENATE(ABS(VLOOKUP(CONCATENATE(VLOOKUP(A59,TEAMS,2,FALSE),TEXT(B59,"00")),PLAYERS,5,FALSE)),"k")</f>
        <v>80k</v>
      </c>
    </row>
    <row r="60" spans="1:14" x14ac:dyDescent="0.25">
      <c r="A60" s="6" t="s">
        <v>83</v>
      </c>
      <c r="B60" s="6">
        <v>3</v>
      </c>
      <c r="D60" s="49" t="str">
        <f>CONCATENATE("0-",VLOOKUP(CONCATENATE(VLOOKUP(A60,TEAMS,2,FALSE),TEXT(B60,"00")),PLAYERS,$D$1,FALSE),IF(VLOOKUP(CONCATENATE(VLOOKUP(A60,TEAMS,2,FALSE),TEXT(B60,"00")),PLAYERS,$D$1+1,FALSE)="BG"," *",""))</f>
        <v>0-4</v>
      </c>
      <c r="E60" s="50" t="str">
        <f>VLOOKUP(CONCATENATE(VLOOKUP(A60,TEAMS,2,FALSE),TEXT($B60,"00")),PLAYERS,E$1,FALSE)</f>
        <v>Dark Elf Blitzer</v>
      </c>
      <c r="F60" s="48">
        <f>VLOOKUP(CONCATENATE(VLOOKUP(A60,TEAMS,2,FALSE),TEXT($B60,"00")),PLAYERS,F$1,FALSE)</f>
        <v>7</v>
      </c>
      <c r="G60" s="48">
        <f>VLOOKUP(CONCATENATE(VLOOKUP(A60,TEAMS,2,FALSE),TEXT($B60,"00")),PLAYERS,G$1,FALSE)</f>
        <v>3</v>
      </c>
      <c r="H60" s="48" t="str">
        <f>CONCATENATE(VLOOKUP(CONCATENATE(VLOOKUP(A60,TEAMS,2,FALSE),TEXT($B60,"00")),PLAYERS,H$1,FALSE),"+")</f>
        <v>2+</v>
      </c>
      <c r="I60" s="48" t="str">
        <f>CONCATENATE(VLOOKUP(CONCATENATE(VLOOKUP(A60,TEAMS,2,FALSE),TEXT($B60,"00")),PLAYERS,I$1,FALSE),IF(VLOOKUP(CONCATENATE(VLOOKUP(A60,TEAMS,2,FALSE),TEXT($B60,"00")),PLAYERS,I$1,FALSE)="-","","+"))</f>
        <v>4+</v>
      </c>
      <c r="J60" s="48" t="str">
        <f>CONCATENATE(VLOOKUP(CONCATENATE(VLOOKUP(A60,TEAMS,2,FALSE),TEXT($B60,"00")),PLAYERS,J$1,FALSE),"+")</f>
        <v>9+</v>
      </c>
      <c r="K60" s="50" t="str">
        <f>VLOOKUP(CONCATENATE(VLOOKUP(A60,TEAMS,2,FALSE),TEXT($B60,"00")),PLAYERS,K$1,FALSE)</f>
        <v>Block</v>
      </c>
      <c r="L60" s="49" t="str">
        <f>VLOOKUP(CONCATENATE(VLOOKUP(A60,TEAMS,2,FALSE),TEXT($B60,"00")),PLAYERS,L$1,FALSE)</f>
        <v>AG</v>
      </c>
      <c r="M60" s="49" t="str">
        <f>VLOOKUP(CONCATENATE(VLOOKUP(A60,TEAMS,2,FALSE),TEXT($B60,"00")),PLAYERS,M$1,FALSE)</f>
        <v>PS</v>
      </c>
      <c r="N60" s="48" t="str">
        <f>CONCATENATE(ABS(VLOOKUP(CONCATENATE(VLOOKUP(A60,TEAMS,2,FALSE),TEXT(B60,"00")),PLAYERS,5,FALSE)),"k")</f>
        <v>100k</v>
      </c>
    </row>
    <row r="61" spans="1:14" x14ac:dyDescent="0.25">
      <c r="A61" s="6" t="s">
        <v>83</v>
      </c>
      <c r="B61" s="6">
        <v>4</v>
      </c>
      <c r="D61" s="49" t="str">
        <f>CONCATENATE("0-",VLOOKUP(CONCATENATE(VLOOKUP(A61,TEAMS,2,FALSE),TEXT(B61,"00")),PLAYERS,$D$1,FALSE),IF(VLOOKUP(CONCATENATE(VLOOKUP(A61,TEAMS,2,FALSE),TEXT(B61,"00")),PLAYERS,$D$1+1,FALSE)="BG"," *",""))</f>
        <v>0-2</v>
      </c>
      <c r="E61" s="50" t="str">
        <f>VLOOKUP(CONCATENATE(VLOOKUP(A61,TEAMS,2,FALSE),TEXT($B61,"00")),PLAYERS,E$1,FALSE)</f>
        <v>Assassin</v>
      </c>
      <c r="F61" s="48">
        <f>VLOOKUP(CONCATENATE(VLOOKUP(A61,TEAMS,2,FALSE),TEXT($B61,"00")),PLAYERS,F$1,FALSE)</f>
        <v>7</v>
      </c>
      <c r="G61" s="48">
        <f>VLOOKUP(CONCATENATE(VLOOKUP(A61,TEAMS,2,FALSE),TEXT($B61,"00")),PLAYERS,G$1,FALSE)</f>
        <v>3</v>
      </c>
      <c r="H61" s="48" t="str">
        <f>CONCATENATE(VLOOKUP(CONCATENATE(VLOOKUP(A61,TEAMS,2,FALSE),TEXT($B61,"00")),PLAYERS,H$1,FALSE),"+")</f>
        <v>2+</v>
      </c>
      <c r="I61" s="48" t="str">
        <f>CONCATENATE(VLOOKUP(CONCATENATE(VLOOKUP(A61,TEAMS,2,FALSE),TEXT($B61,"00")),PLAYERS,I$1,FALSE),IF(VLOOKUP(CONCATENATE(VLOOKUP(A61,TEAMS,2,FALSE),TEXT($B61,"00")),PLAYERS,I$1,FALSE)="-","","+"))</f>
        <v>5+</v>
      </c>
      <c r="J61" s="48" t="str">
        <f>CONCATENATE(VLOOKUP(CONCATENATE(VLOOKUP(A61,TEAMS,2,FALSE),TEXT($B61,"00")),PLAYERS,J$1,FALSE),"+")</f>
        <v>8+</v>
      </c>
      <c r="K61" s="50" t="str">
        <f>VLOOKUP(CONCATENATE(VLOOKUP(A61,TEAMS,2,FALSE),TEXT($B61,"00")),PLAYERS,K$1,FALSE)</f>
        <v>Shadowing, Stab</v>
      </c>
      <c r="L61" s="49" t="str">
        <f>VLOOKUP(CONCATENATE(VLOOKUP(A61,TEAMS,2,FALSE),TEXT($B61,"00")),PLAYERS,L$1,FALSE)</f>
        <v>AG</v>
      </c>
      <c r="M61" s="49" t="str">
        <f>VLOOKUP(CONCATENATE(VLOOKUP(A61,TEAMS,2,FALSE),TEXT($B61,"00")),PLAYERS,M$1,FALSE)</f>
        <v>PS</v>
      </c>
      <c r="N61" s="48" t="str">
        <f>CONCATENATE(ABS(VLOOKUP(CONCATENATE(VLOOKUP(A61,TEAMS,2,FALSE),TEXT(B61,"00")),PLAYERS,5,FALSE)),"k")</f>
        <v>85k</v>
      </c>
    </row>
    <row r="62" spans="1:14" x14ac:dyDescent="0.25">
      <c r="A62" s="6" t="s">
        <v>83</v>
      </c>
      <c r="B62" s="6">
        <v>5</v>
      </c>
      <c r="D62" s="49" t="str">
        <f>CONCATENATE("0-",VLOOKUP(CONCATENATE(VLOOKUP(A62,TEAMS,2,FALSE),TEXT(B62,"00")),PLAYERS,$D$1,FALSE),IF(VLOOKUP(CONCATENATE(VLOOKUP(A62,TEAMS,2,FALSE),TEXT(B62,"00")),PLAYERS,$D$1+1,FALSE)="BG"," *",""))</f>
        <v>0-2</v>
      </c>
      <c r="E62" s="50" t="str">
        <f>VLOOKUP(CONCATENATE(VLOOKUP(A62,TEAMS,2,FALSE),TEXT($B62,"00")),PLAYERS,E$1,FALSE)</f>
        <v>Witch Elf</v>
      </c>
      <c r="F62" s="48">
        <f>VLOOKUP(CONCATENATE(VLOOKUP(A62,TEAMS,2,FALSE),TEXT($B62,"00")),PLAYERS,F$1,FALSE)</f>
        <v>7</v>
      </c>
      <c r="G62" s="48">
        <f>VLOOKUP(CONCATENATE(VLOOKUP(A62,TEAMS,2,FALSE),TEXT($B62,"00")),PLAYERS,G$1,FALSE)</f>
        <v>3</v>
      </c>
      <c r="H62" s="48" t="str">
        <f>CONCATENATE(VLOOKUP(CONCATENATE(VLOOKUP(A62,TEAMS,2,FALSE),TEXT($B62,"00")),PLAYERS,H$1,FALSE),"+")</f>
        <v>2+</v>
      </c>
      <c r="I62" s="48" t="str">
        <f>CONCATENATE(VLOOKUP(CONCATENATE(VLOOKUP(A62,TEAMS,2,FALSE),TEXT($B62,"00")),PLAYERS,I$1,FALSE),IF(VLOOKUP(CONCATENATE(VLOOKUP(A62,TEAMS,2,FALSE),TEXT($B62,"00")),PLAYERS,I$1,FALSE)="-","","+"))</f>
        <v>5+</v>
      </c>
      <c r="J62" s="48" t="str">
        <f>CONCATENATE(VLOOKUP(CONCATENATE(VLOOKUP(A62,TEAMS,2,FALSE),TEXT($B62,"00")),PLAYERS,J$1,FALSE),"+")</f>
        <v>8+</v>
      </c>
      <c r="K62" s="50" t="str">
        <f>VLOOKUP(CONCATENATE(VLOOKUP(A62,TEAMS,2,FALSE),TEXT($B62,"00")),PLAYERS,K$1,FALSE)</f>
        <v>Dodge, Frenzy*, Jump Up</v>
      </c>
      <c r="L62" s="49" t="str">
        <f>VLOOKUP(CONCATENATE(VLOOKUP(A62,TEAMS,2,FALSE),TEXT($B62,"00")),PLAYERS,L$1,FALSE)</f>
        <v>AG</v>
      </c>
      <c r="M62" s="49" t="str">
        <f>VLOOKUP(CONCATENATE(VLOOKUP(A62,TEAMS,2,FALSE),TEXT($B62,"00")),PLAYERS,M$1,FALSE)</f>
        <v>PS</v>
      </c>
      <c r="N62" s="48" t="str">
        <f>CONCATENATE(ABS(VLOOKUP(CONCATENATE(VLOOKUP(A62,TEAMS,2,FALSE),TEXT(B62,"00")),PLAYERS,5,FALSE)),"k")</f>
        <v>110k</v>
      </c>
    </row>
    <row r="63" spans="1:14" x14ac:dyDescent="0.25">
      <c r="D63" s="17" t="s">
        <v>580</v>
      </c>
      <c r="E63" s="17" t="str">
        <f>CONCATENATE(VLOOKUP(A56,TEAMS,5,FALSE),"k")</f>
        <v>50k</v>
      </c>
      <c r="F63" s="358" t="s">
        <v>584</v>
      </c>
      <c r="G63" s="358"/>
      <c r="H63" s="358"/>
      <c r="I63" s="358"/>
      <c r="J63" s="48" t="str">
        <f>VLOOKUP(A56,TEAMS,6,FALSE)</f>
        <v>Yes</v>
      </c>
      <c r="K63" s="359" t="s">
        <v>585</v>
      </c>
      <c r="L63" s="359"/>
      <c r="M63" s="359"/>
      <c r="N63" s="51">
        <f>VLOOKUP(A56,TEAMS,8,FALSE)</f>
        <v>1</v>
      </c>
    </row>
    <row r="64" spans="1:14" x14ac:dyDescent="0.25">
      <c r="D64" s="358" t="s">
        <v>586</v>
      </c>
      <c r="E64" s="358"/>
      <c r="F64" s="360" t="str">
        <f>IFERROR(VLOOKUP(LEFT(VLOOKUP(A56,TEAMS,7,FALSE),3),SpecialRules,3,FALSE) &amp; VLOOKUP(MID(VLOOKUP(A56,TEAMS,7,FALSE),4,3),SpecialRules,3,FALSE),"no Special Rules")</f>
        <v>no Special Rules</v>
      </c>
      <c r="G64" s="360"/>
      <c r="H64" s="360"/>
      <c r="I64" s="360"/>
      <c r="J64" s="360"/>
      <c r="K64" s="360"/>
      <c r="L64" s="360"/>
      <c r="M64" s="360"/>
      <c r="N64" s="360"/>
    </row>
    <row r="65" spans="1:14" x14ac:dyDescent="0.25">
      <c r="D65" s="362"/>
      <c r="E65" s="362"/>
      <c r="F65" s="362"/>
      <c r="G65" s="362"/>
      <c r="H65" s="362"/>
      <c r="I65" s="362"/>
      <c r="J65" s="362"/>
      <c r="K65" s="362"/>
      <c r="L65" s="362"/>
      <c r="M65" s="362"/>
      <c r="N65" s="362"/>
    </row>
    <row r="66" spans="1:14" ht="21" x14ac:dyDescent="0.35">
      <c r="A66" s="6" t="s">
        <v>84</v>
      </c>
      <c r="B66" s="6">
        <v>5</v>
      </c>
      <c r="D66" s="354" t="str">
        <f>A66</f>
        <v>Dwarf</v>
      </c>
      <c r="E66" s="355"/>
      <c r="F66" s="355"/>
      <c r="G66" s="355"/>
      <c r="H66" s="355"/>
      <c r="I66" s="355"/>
      <c r="J66" s="355"/>
      <c r="K66" s="355"/>
      <c r="L66" s="355"/>
      <c r="M66" s="355"/>
      <c r="N66" s="356"/>
    </row>
    <row r="67" spans="1:14" x14ac:dyDescent="0.25">
      <c r="A67" s="6" t="s">
        <v>84</v>
      </c>
      <c r="D67" s="17" t="s">
        <v>765</v>
      </c>
      <c r="E67" s="17" t="s">
        <v>3</v>
      </c>
      <c r="F67" s="48" t="s">
        <v>4</v>
      </c>
      <c r="G67" s="48" t="s">
        <v>5</v>
      </c>
      <c r="H67" s="48" t="s">
        <v>6</v>
      </c>
      <c r="I67" s="48" t="s">
        <v>7</v>
      </c>
      <c r="J67" s="48" t="s">
        <v>8</v>
      </c>
      <c r="K67" s="17" t="s">
        <v>566</v>
      </c>
      <c r="L67" s="17" t="s">
        <v>578</v>
      </c>
      <c r="M67" s="17" t="s">
        <v>579</v>
      </c>
      <c r="N67" s="51" t="s">
        <v>715</v>
      </c>
    </row>
    <row r="68" spans="1:14" x14ac:dyDescent="0.25">
      <c r="A68" s="6" t="s">
        <v>84</v>
      </c>
      <c r="B68" s="6">
        <v>1</v>
      </c>
      <c r="D68" s="49" t="str">
        <f>CONCATENATE("0-",VLOOKUP(CONCATENATE(VLOOKUP(A68,TEAMS,2,FALSE),TEXT(B68,"00")),PLAYERS,$D$1,FALSE),IF(VLOOKUP(CONCATENATE(VLOOKUP(A68,TEAMS,2,FALSE),TEXT(B68,"00")),PLAYERS,$D$1+1,FALSE)="BG"," *",""))</f>
        <v>0-12</v>
      </c>
      <c r="E68" s="50" t="str">
        <f>VLOOKUP(CONCATENATE(VLOOKUP(A68,TEAMS,2,FALSE),TEXT($B68,"00")),PLAYERS,E$1,FALSE)</f>
        <v>Dwarf Blocker Lineman</v>
      </c>
      <c r="F68" s="48">
        <f>VLOOKUP(CONCATENATE(VLOOKUP(A68,TEAMS,2,FALSE),TEXT($B68,"00")),PLAYERS,F$1,FALSE)</f>
        <v>4</v>
      </c>
      <c r="G68" s="48">
        <f>VLOOKUP(CONCATENATE(VLOOKUP(A68,TEAMS,2,FALSE),TEXT($B68,"00")),PLAYERS,G$1,FALSE)</f>
        <v>3</v>
      </c>
      <c r="H68" s="48" t="str">
        <f>CONCATENATE(VLOOKUP(CONCATENATE(VLOOKUP(A68,TEAMS,2,FALSE),TEXT($B68,"00")),PLAYERS,H$1,FALSE),"+")</f>
        <v>4+</v>
      </c>
      <c r="I68" s="48" t="str">
        <f>CONCATENATE(VLOOKUP(CONCATENATE(VLOOKUP(A68,TEAMS,2,FALSE),TEXT($B68,"00")),PLAYERS,I$1,FALSE),IF(VLOOKUP(CONCATENATE(VLOOKUP(A68,TEAMS,2,FALSE),TEXT($B68,"00")),PLAYERS,I$1,FALSE)="-","","+"))</f>
        <v>5+</v>
      </c>
      <c r="J68" s="48" t="str">
        <f>CONCATENATE(VLOOKUP(CONCATENATE(VLOOKUP(A68,TEAMS,2,FALSE),TEXT($B68,"00")),PLAYERS,J$1,FALSE),"+")</f>
        <v>10+</v>
      </c>
      <c r="K68" s="50" t="str">
        <f>VLOOKUP(CONCATENATE(VLOOKUP(A68,TEAMS,2,FALSE),TEXT($B68,"00")),PLAYERS,K$1,FALSE)</f>
        <v>Block, Tackle, Thick Skull</v>
      </c>
      <c r="L68" s="49" t="str">
        <f>VLOOKUP(CONCATENATE(VLOOKUP(A68,TEAMS,2,FALSE),TEXT($B68,"00")),PLAYERS,L$1,FALSE)</f>
        <v>GS</v>
      </c>
      <c r="M68" s="49" t="str">
        <f>VLOOKUP(CONCATENATE(VLOOKUP(A68,TEAMS,2,FALSE),TEXT($B68,"00")),PLAYERS,M$1,FALSE)</f>
        <v>A</v>
      </c>
      <c r="N68" s="48" t="str">
        <f>CONCATENATE(ABS(VLOOKUP(CONCATENATE(VLOOKUP(A68,TEAMS,2,FALSE),TEXT(B68,"00")),PLAYERS,5,FALSE)),"k")</f>
        <v>70k</v>
      </c>
    </row>
    <row r="69" spans="1:14" x14ac:dyDescent="0.25">
      <c r="A69" s="6" t="s">
        <v>84</v>
      </c>
      <c r="B69" s="6">
        <v>2</v>
      </c>
      <c r="D69" s="49" t="str">
        <f>CONCATENATE("0-",VLOOKUP(CONCATENATE(VLOOKUP(A69,TEAMS,2,FALSE),TEXT(B69,"00")),PLAYERS,$D$1,FALSE),IF(VLOOKUP(CONCATENATE(VLOOKUP(A69,TEAMS,2,FALSE),TEXT(B69,"00")),PLAYERS,$D$1+1,FALSE)="BG"," *",""))</f>
        <v>0-2</v>
      </c>
      <c r="E69" s="50" t="str">
        <f>VLOOKUP(CONCATENATE(VLOOKUP(A69,TEAMS,2,FALSE),TEXT($B69,"00")),PLAYERS,E$1,FALSE)</f>
        <v>Dwarf Runner</v>
      </c>
      <c r="F69" s="48">
        <f>VLOOKUP(CONCATENATE(VLOOKUP(A69,TEAMS,2,FALSE),TEXT($B69,"00")),PLAYERS,F$1,FALSE)</f>
        <v>6</v>
      </c>
      <c r="G69" s="48">
        <f>VLOOKUP(CONCATENATE(VLOOKUP(A69,TEAMS,2,FALSE),TEXT($B69,"00")),PLAYERS,G$1,FALSE)</f>
        <v>3</v>
      </c>
      <c r="H69" s="48" t="str">
        <f>CONCATENATE(VLOOKUP(CONCATENATE(VLOOKUP(A69,TEAMS,2,FALSE),TEXT($B69,"00")),PLAYERS,H$1,FALSE),"+")</f>
        <v>3+</v>
      </c>
      <c r="I69" s="48" t="str">
        <f>CONCATENATE(VLOOKUP(CONCATENATE(VLOOKUP(A69,TEAMS,2,FALSE),TEXT($B69,"00")),PLAYERS,I$1,FALSE),IF(VLOOKUP(CONCATENATE(VLOOKUP(A69,TEAMS,2,FALSE),TEXT($B69,"00")),PLAYERS,I$1,FALSE)="-","","+"))</f>
        <v>4+</v>
      </c>
      <c r="J69" s="48" t="str">
        <f>CONCATENATE(VLOOKUP(CONCATENATE(VLOOKUP(A69,TEAMS,2,FALSE),TEXT($B69,"00")),PLAYERS,J$1,FALSE),"+")</f>
        <v>9+</v>
      </c>
      <c r="K69" s="50" t="str">
        <f>VLOOKUP(CONCATENATE(VLOOKUP(A69,TEAMS,2,FALSE),TEXT($B69,"00")),PLAYERS,K$1,FALSE)</f>
        <v>Sure Hands, Thick Skull</v>
      </c>
      <c r="L69" s="49" t="str">
        <f>VLOOKUP(CONCATENATE(VLOOKUP(A69,TEAMS,2,FALSE),TEXT($B69,"00")),PLAYERS,L$1,FALSE)</f>
        <v>GP</v>
      </c>
      <c r="M69" s="49" t="str">
        <f>VLOOKUP(CONCATENATE(VLOOKUP(A69,TEAMS,2,FALSE),TEXT($B69,"00")),PLAYERS,M$1,FALSE)</f>
        <v>AS</v>
      </c>
      <c r="N69" s="48" t="str">
        <f>CONCATENATE(ABS(VLOOKUP(CONCATENATE(VLOOKUP(A69,TEAMS,2,FALSE),TEXT(B69,"00")),PLAYERS,5,FALSE)),"k")</f>
        <v>85k</v>
      </c>
    </row>
    <row r="70" spans="1:14" x14ac:dyDescent="0.25">
      <c r="A70" s="6" t="s">
        <v>84</v>
      </c>
      <c r="B70" s="6">
        <v>3</v>
      </c>
      <c r="D70" s="49" t="str">
        <f>CONCATENATE("0-",VLOOKUP(CONCATENATE(VLOOKUP(A70,TEAMS,2,FALSE),TEXT(B70,"00")),PLAYERS,$D$1,FALSE),IF(VLOOKUP(CONCATENATE(VLOOKUP(A70,TEAMS,2,FALSE),TEXT(B70,"00")),PLAYERS,$D$1+1,FALSE)="BG"," *",""))</f>
        <v>0-2</v>
      </c>
      <c r="E70" s="50" t="str">
        <f>VLOOKUP(CONCATENATE(VLOOKUP(A70,TEAMS,2,FALSE),TEXT($B70,"00")),PLAYERS,E$1,FALSE)</f>
        <v>Dwarf Blitzer</v>
      </c>
      <c r="F70" s="48">
        <f>VLOOKUP(CONCATENATE(VLOOKUP(A70,TEAMS,2,FALSE),TEXT($B70,"00")),PLAYERS,F$1,FALSE)</f>
        <v>5</v>
      </c>
      <c r="G70" s="48">
        <f>VLOOKUP(CONCATENATE(VLOOKUP(A70,TEAMS,2,FALSE),TEXT($B70,"00")),PLAYERS,G$1,FALSE)</f>
        <v>3</v>
      </c>
      <c r="H70" s="48" t="str">
        <f>CONCATENATE(VLOOKUP(CONCATENATE(VLOOKUP(A70,TEAMS,2,FALSE),TEXT($B70,"00")),PLAYERS,H$1,FALSE),"+")</f>
        <v>3+</v>
      </c>
      <c r="I70" s="48" t="str">
        <f>CONCATENATE(VLOOKUP(CONCATENATE(VLOOKUP(A70,TEAMS,2,FALSE),TEXT($B70,"00")),PLAYERS,I$1,FALSE),IF(VLOOKUP(CONCATENATE(VLOOKUP(A70,TEAMS,2,FALSE),TEXT($B70,"00")),PLAYERS,I$1,FALSE)="-","","+"))</f>
        <v>4+</v>
      </c>
      <c r="J70" s="48" t="str">
        <f>CONCATENATE(VLOOKUP(CONCATENATE(VLOOKUP(A70,TEAMS,2,FALSE),TEXT($B70,"00")),PLAYERS,J$1,FALSE),"+")</f>
        <v>10+</v>
      </c>
      <c r="K70" s="50" t="str">
        <f>VLOOKUP(CONCATENATE(VLOOKUP(A70,TEAMS,2,FALSE),TEXT($B70,"00")),PLAYERS,K$1,FALSE)</f>
        <v>Block, Thick Skull</v>
      </c>
      <c r="L70" s="49" t="str">
        <f>VLOOKUP(CONCATENATE(VLOOKUP(A70,TEAMS,2,FALSE),TEXT($B70,"00")),PLAYERS,L$1,FALSE)</f>
        <v>GS</v>
      </c>
      <c r="M70" s="49" t="str">
        <f>VLOOKUP(CONCATENATE(VLOOKUP(A70,TEAMS,2,FALSE),TEXT($B70,"00")),PLAYERS,M$1,FALSE)</f>
        <v>AP</v>
      </c>
      <c r="N70" s="48" t="str">
        <f>CONCATENATE(ABS(VLOOKUP(CONCATENATE(VLOOKUP(A70,TEAMS,2,FALSE),TEXT(B70,"00")),PLAYERS,5,FALSE)),"k")</f>
        <v>80k</v>
      </c>
    </row>
    <row r="71" spans="1:14" x14ac:dyDescent="0.25">
      <c r="A71" s="6" t="s">
        <v>84</v>
      </c>
      <c r="B71" s="6">
        <v>4</v>
      </c>
      <c r="D71" s="49" t="str">
        <f>CONCATENATE("0-",VLOOKUP(CONCATENATE(VLOOKUP(A71,TEAMS,2,FALSE),TEXT(B71,"00")),PLAYERS,$D$1,FALSE),IF(VLOOKUP(CONCATENATE(VLOOKUP(A71,TEAMS,2,FALSE),TEXT(B71,"00")),PLAYERS,$D$1+1,FALSE)="BG"," *",""))</f>
        <v>0-2</v>
      </c>
      <c r="E71" s="50" t="str">
        <f>VLOOKUP(CONCATENATE(VLOOKUP(A71,TEAMS,2,FALSE),TEXT($B71,"00")),PLAYERS,E$1,FALSE)</f>
        <v>Troll Slayer</v>
      </c>
      <c r="F71" s="48">
        <f>VLOOKUP(CONCATENATE(VLOOKUP(A71,TEAMS,2,FALSE),TEXT($B71,"00")),PLAYERS,F$1,FALSE)</f>
        <v>5</v>
      </c>
      <c r="G71" s="48">
        <f>VLOOKUP(CONCATENATE(VLOOKUP(A71,TEAMS,2,FALSE),TEXT($B71,"00")),PLAYERS,G$1,FALSE)</f>
        <v>3</v>
      </c>
      <c r="H71" s="48" t="str">
        <f>CONCATENATE(VLOOKUP(CONCATENATE(VLOOKUP(A71,TEAMS,2,FALSE),TEXT($B71,"00")),PLAYERS,H$1,FALSE),"+")</f>
        <v>4+</v>
      </c>
      <c r="I71" s="48" t="str">
        <f>CONCATENATE(VLOOKUP(CONCATENATE(VLOOKUP(A71,TEAMS,2,FALSE),TEXT($B71,"00")),PLAYERS,I$1,FALSE),IF(VLOOKUP(CONCATENATE(VLOOKUP(A71,TEAMS,2,FALSE),TEXT($B71,"00")),PLAYERS,I$1,FALSE)="-","","+"))</f>
        <v>-</v>
      </c>
      <c r="J71" s="48" t="str">
        <f>CONCATENATE(VLOOKUP(CONCATENATE(VLOOKUP(A71,TEAMS,2,FALSE),TEXT($B71,"00")),PLAYERS,J$1,FALSE),"+")</f>
        <v>9+</v>
      </c>
      <c r="K71" s="50" t="str">
        <f>VLOOKUP(CONCATENATE(VLOOKUP(A71,TEAMS,2,FALSE),TEXT($B71,"00")),PLAYERS,K$1,FALSE)</f>
        <v>Block, Dauntless, Frenzy*, Thick Skull</v>
      </c>
      <c r="L71" s="49" t="str">
        <f>VLOOKUP(CONCATENATE(VLOOKUP(A71,TEAMS,2,FALSE),TEXT($B71,"00")),PLAYERS,L$1,FALSE)</f>
        <v>GS</v>
      </c>
      <c r="M71" s="49" t="str">
        <f>VLOOKUP(CONCATENATE(VLOOKUP(A71,TEAMS,2,FALSE),TEXT($B71,"00")),PLAYERS,M$1,FALSE)</f>
        <v>A</v>
      </c>
      <c r="N71" s="48" t="str">
        <f>CONCATENATE(ABS(VLOOKUP(CONCATENATE(VLOOKUP(A71,TEAMS,2,FALSE),TEXT(B71,"00")),PLAYERS,5,FALSE)),"k")</f>
        <v>95k</v>
      </c>
    </row>
    <row r="72" spans="1:14" ht="45" x14ac:dyDescent="0.25">
      <c r="A72" s="6" t="s">
        <v>84</v>
      </c>
      <c r="B72" s="6">
        <v>5</v>
      </c>
      <c r="D72" s="49" t="str">
        <f>CONCATENATE("0-",VLOOKUP(CONCATENATE(VLOOKUP(A72,TEAMS,2,FALSE),TEXT(B72,"00")),PLAYERS,$D$1,FALSE),IF(VLOOKUP(CONCATENATE(VLOOKUP(A72,TEAMS,2,FALSE),TEXT(B72,"00")),PLAYERS,$D$1+1,FALSE)="BG"," *",""))</f>
        <v>0-1</v>
      </c>
      <c r="E72" s="50" t="str">
        <f>VLOOKUP(CONCATENATE(VLOOKUP(A72,TEAMS,2,FALSE),TEXT($B72,"00")),PLAYERS,E$1,FALSE)</f>
        <v>Deathroller</v>
      </c>
      <c r="F72" s="48">
        <f>VLOOKUP(CONCATENATE(VLOOKUP(A72,TEAMS,2,FALSE),TEXT($B72,"00")),PLAYERS,F$1,FALSE)</f>
        <v>4</v>
      </c>
      <c r="G72" s="48">
        <f>VLOOKUP(CONCATENATE(VLOOKUP(A72,TEAMS,2,FALSE),TEXT($B72,"00")),PLAYERS,G$1,FALSE)</f>
        <v>7</v>
      </c>
      <c r="H72" s="48" t="str">
        <f>CONCATENATE(VLOOKUP(CONCATENATE(VLOOKUP(A72,TEAMS,2,FALSE),TEXT($B72,"00")),PLAYERS,H$1,FALSE),"+")</f>
        <v>5+</v>
      </c>
      <c r="I72" s="48" t="str">
        <f>CONCATENATE(VLOOKUP(CONCATENATE(VLOOKUP(A72,TEAMS,2,FALSE),TEXT($B72,"00")),PLAYERS,I$1,FALSE),IF(VLOOKUP(CONCATENATE(VLOOKUP(A72,TEAMS,2,FALSE),TEXT($B72,"00")),PLAYERS,I$1,FALSE)="-","","+"))</f>
        <v>-</v>
      </c>
      <c r="J72" s="48" t="str">
        <f>CONCATENATE(VLOOKUP(CONCATENATE(VLOOKUP(A72,TEAMS,2,FALSE),TEXT($B72,"00")),PLAYERS,J$1,FALSE),"+")</f>
        <v>11+</v>
      </c>
      <c r="K72" s="50" t="str">
        <f>VLOOKUP(CONCATENATE(VLOOKUP(A72,TEAMS,2,FALSE),TEXT($B72,"00")),PLAYERS,K$1,FALSE)</f>
        <v>Break Tackle, Dirty Player (+2), Juggernaut, Loner (5+), Mighty Blow (+1), No Hands*, Secret Weapon*, Stand Firm</v>
      </c>
      <c r="L72" s="49" t="str">
        <f>VLOOKUP(CONCATENATE(VLOOKUP(A72,TEAMS,2,FALSE),TEXT($B72,"00")),PLAYERS,L$1,FALSE)</f>
        <v>S</v>
      </c>
      <c r="M72" s="49" t="str">
        <f>VLOOKUP(CONCATENATE(VLOOKUP(A72,TEAMS,2,FALSE),TEXT($B72,"00")),PLAYERS,M$1,FALSE)</f>
        <v>AG</v>
      </c>
      <c r="N72" s="48" t="str">
        <f>CONCATENATE(ABS(VLOOKUP(CONCATENATE(VLOOKUP(A72,TEAMS,2,FALSE),TEXT(B72,"00")),PLAYERS,5,FALSE)),"k")</f>
        <v>170k</v>
      </c>
    </row>
    <row r="73" spans="1:14" x14ac:dyDescent="0.25">
      <c r="D73" s="17" t="s">
        <v>580</v>
      </c>
      <c r="E73" s="17" t="str">
        <f>CONCATENATE(VLOOKUP(A66,TEAMS,5,FALSE),"k")</f>
        <v>50k</v>
      </c>
      <c r="F73" s="364" t="s">
        <v>584</v>
      </c>
      <c r="G73" s="369"/>
      <c r="H73" s="369"/>
      <c r="I73" s="365"/>
      <c r="J73" s="48" t="str">
        <f>VLOOKUP(A66,TEAMS,6,FALSE)</f>
        <v>Yes</v>
      </c>
      <c r="K73" s="366" t="s">
        <v>585</v>
      </c>
      <c r="L73" s="367"/>
      <c r="M73" s="368"/>
      <c r="N73" s="51">
        <f>VLOOKUP(A66,TEAMS,8,FALSE)</f>
        <v>1</v>
      </c>
    </row>
    <row r="74" spans="1:14" x14ac:dyDescent="0.25">
      <c r="D74" s="364" t="s">
        <v>586</v>
      </c>
      <c r="E74" s="365"/>
      <c r="F74" s="360" t="str">
        <f>IFERROR(VLOOKUP(LEFT(VLOOKUP(A68,TEAMS,7,FALSE),3),SpecialRules,3,FALSE) &amp; VLOOKUP(MID(VLOOKUP(A68,TEAMS,7,FALSE),4,3),SpecialRules,3,FALSE),"")</f>
        <v/>
      </c>
      <c r="G74" s="360"/>
      <c r="H74" s="360"/>
      <c r="I74" s="360"/>
      <c r="J74" s="360"/>
      <c r="K74" s="360"/>
      <c r="L74" s="360"/>
      <c r="M74" s="360"/>
      <c r="N74" s="360"/>
    </row>
    <row r="75" spans="1:14" x14ac:dyDescent="0.25">
      <c r="D75" s="362"/>
      <c r="E75" s="362"/>
      <c r="F75" s="362"/>
      <c r="G75" s="362"/>
      <c r="H75" s="362"/>
      <c r="I75" s="362"/>
      <c r="J75" s="362"/>
      <c r="K75" s="362"/>
      <c r="L75" s="362"/>
      <c r="M75" s="362"/>
      <c r="N75" s="362"/>
    </row>
    <row r="76" spans="1:14" ht="21" x14ac:dyDescent="0.35">
      <c r="A76" s="6" t="s">
        <v>85</v>
      </c>
      <c r="B76" s="6">
        <v>4</v>
      </c>
      <c r="D76" s="354" t="str">
        <f>A76</f>
        <v>Elven Union</v>
      </c>
      <c r="E76" s="355"/>
      <c r="F76" s="355"/>
      <c r="G76" s="355"/>
      <c r="H76" s="355"/>
      <c r="I76" s="355"/>
      <c r="J76" s="355"/>
      <c r="K76" s="355"/>
      <c r="L76" s="355"/>
      <c r="M76" s="355"/>
      <c r="N76" s="356"/>
    </row>
    <row r="77" spans="1:14" x14ac:dyDescent="0.25">
      <c r="A77" s="6" t="s">
        <v>85</v>
      </c>
      <c r="D77" s="17" t="s">
        <v>765</v>
      </c>
      <c r="E77" s="17" t="s">
        <v>3</v>
      </c>
      <c r="F77" s="48" t="s">
        <v>4</v>
      </c>
      <c r="G77" s="48" t="s">
        <v>5</v>
      </c>
      <c r="H77" s="48" t="s">
        <v>6</v>
      </c>
      <c r="I77" s="48" t="s">
        <v>7</v>
      </c>
      <c r="J77" s="48" t="s">
        <v>8</v>
      </c>
      <c r="K77" s="17" t="s">
        <v>566</v>
      </c>
      <c r="L77" s="17" t="s">
        <v>578</v>
      </c>
      <c r="M77" s="17" t="s">
        <v>579</v>
      </c>
      <c r="N77" s="51" t="s">
        <v>715</v>
      </c>
    </row>
    <row r="78" spans="1:14" x14ac:dyDescent="0.25">
      <c r="A78" s="6" t="s">
        <v>85</v>
      </c>
      <c r="B78" s="6">
        <v>1</v>
      </c>
      <c r="D78" s="49" t="str">
        <f>CONCATENATE("0-",VLOOKUP(CONCATENATE(VLOOKUP(A78,TEAMS,2,FALSE),TEXT(B78,"00")),PLAYERS,$D$1,FALSE),IF(VLOOKUP(CONCATENATE(VLOOKUP(A78,TEAMS,2,FALSE),TEXT(B78,"00")),PLAYERS,$D$1+1,FALSE)="BG"," *",""))</f>
        <v>0-12</v>
      </c>
      <c r="E78" s="50" t="str">
        <f>VLOOKUP(CONCATENATE(VLOOKUP(A78,TEAMS,2,FALSE),TEXT($B78,"00")),PLAYERS,E$1,FALSE)</f>
        <v>Elven Lineman</v>
      </c>
      <c r="F78" s="48">
        <f>VLOOKUP(CONCATENATE(VLOOKUP(A78,TEAMS,2,FALSE),TEXT($B78,"00")),PLAYERS,F$1,FALSE)</f>
        <v>6</v>
      </c>
      <c r="G78" s="48">
        <f>VLOOKUP(CONCATENATE(VLOOKUP(A78,TEAMS,2,FALSE),TEXT($B78,"00")),PLAYERS,G$1,FALSE)</f>
        <v>3</v>
      </c>
      <c r="H78" s="48" t="str">
        <f>CONCATENATE(VLOOKUP(CONCATENATE(VLOOKUP(A78,TEAMS,2,FALSE),TEXT($B78,"00")),PLAYERS,H$1,FALSE),"+")</f>
        <v>2+</v>
      </c>
      <c r="I78" s="48" t="str">
        <f>CONCATENATE(VLOOKUP(CONCATENATE(VLOOKUP(A78,TEAMS,2,FALSE),TEXT($B78,"00")),PLAYERS,I$1,FALSE),IF(VLOOKUP(CONCATENATE(VLOOKUP(A78,TEAMS,2,FALSE),TEXT($B78,"00")),PLAYERS,I$1,FALSE)="-","","+"))</f>
        <v>4+</v>
      </c>
      <c r="J78" s="48" t="str">
        <f>CONCATENATE(VLOOKUP(CONCATENATE(VLOOKUP(A78,TEAMS,2,FALSE),TEXT($B78,"00")),PLAYERS,J$1,FALSE),"+")</f>
        <v>8+</v>
      </c>
      <c r="K78" s="50" t="str">
        <f>VLOOKUP(CONCATENATE(VLOOKUP(A78,TEAMS,2,FALSE),TEXT($B78,"00")),PLAYERS,K$1,FALSE)</f>
        <v>None</v>
      </c>
      <c r="L78" s="49" t="str">
        <f>VLOOKUP(CONCATENATE(VLOOKUP(A78,TEAMS,2,FALSE),TEXT($B78,"00")),PLAYERS,L$1,FALSE)</f>
        <v>AG</v>
      </c>
      <c r="M78" s="49" t="str">
        <f>VLOOKUP(CONCATENATE(VLOOKUP(A78,TEAMS,2,FALSE),TEXT($B78,"00")),PLAYERS,M$1,FALSE)</f>
        <v>S</v>
      </c>
      <c r="N78" s="48" t="str">
        <f>CONCATENATE(ABS(VLOOKUP(CONCATENATE(VLOOKUP(A78,TEAMS,2,FALSE),TEXT(B78,"00")),PLAYERS,5,FALSE)),"k")</f>
        <v>60k</v>
      </c>
    </row>
    <row r="79" spans="1:14" x14ac:dyDescent="0.25">
      <c r="A79" s="6" t="s">
        <v>85</v>
      </c>
      <c r="B79" s="6">
        <v>2</v>
      </c>
      <c r="D79" s="49" t="str">
        <f>CONCATENATE("0-",VLOOKUP(CONCATENATE(VLOOKUP(A79,TEAMS,2,FALSE),TEXT(B79,"00")),PLAYERS,$D$1,FALSE),IF(VLOOKUP(CONCATENATE(VLOOKUP(A79,TEAMS,2,FALSE),TEXT(B79,"00")),PLAYERS,$D$1+1,FALSE)="BG"," *",""))</f>
        <v>0-2</v>
      </c>
      <c r="E79" s="50" t="str">
        <f>VLOOKUP(CONCATENATE(VLOOKUP(A79,TEAMS,2,FALSE),TEXT($B79,"00")),PLAYERS,E$1,FALSE)</f>
        <v>Elven Thrower</v>
      </c>
      <c r="F79" s="48">
        <f>VLOOKUP(CONCATENATE(VLOOKUP(A79,TEAMS,2,FALSE),TEXT($B79,"00")),PLAYERS,F$1,FALSE)</f>
        <v>6</v>
      </c>
      <c r="G79" s="48">
        <f>VLOOKUP(CONCATENATE(VLOOKUP(A79,TEAMS,2,FALSE),TEXT($B79,"00")),PLAYERS,G$1,FALSE)</f>
        <v>3</v>
      </c>
      <c r="H79" s="48" t="str">
        <f>CONCATENATE(VLOOKUP(CONCATENATE(VLOOKUP(A79,TEAMS,2,FALSE),TEXT($B79,"00")),PLAYERS,H$1,FALSE),"+")</f>
        <v>2+</v>
      </c>
      <c r="I79" s="48" t="str">
        <f>CONCATENATE(VLOOKUP(CONCATENATE(VLOOKUP(A79,TEAMS,2,FALSE),TEXT($B79,"00")),PLAYERS,I$1,FALSE),IF(VLOOKUP(CONCATENATE(VLOOKUP(A79,TEAMS,2,FALSE),TEXT($B79,"00")),PLAYERS,I$1,FALSE)="-","","+"))</f>
        <v>2+</v>
      </c>
      <c r="J79" s="48" t="str">
        <f>CONCATENATE(VLOOKUP(CONCATENATE(VLOOKUP(A79,TEAMS,2,FALSE),TEXT($B79,"00")),PLAYERS,J$1,FALSE),"+")</f>
        <v>8+</v>
      </c>
      <c r="K79" s="50" t="str">
        <f>VLOOKUP(CONCATENATE(VLOOKUP(A79,TEAMS,2,FALSE),TEXT($B79,"00")),PLAYERS,K$1,FALSE)</f>
        <v>Pass</v>
      </c>
      <c r="L79" s="49" t="str">
        <f>VLOOKUP(CONCATENATE(VLOOKUP(A79,TEAMS,2,FALSE),TEXT($B79,"00")),PLAYERS,L$1,FALSE)</f>
        <v>AGP</v>
      </c>
      <c r="M79" s="49" t="str">
        <f>VLOOKUP(CONCATENATE(VLOOKUP(A79,TEAMS,2,FALSE),TEXT($B79,"00")),PLAYERS,M$1,FALSE)</f>
        <v>S</v>
      </c>
      <c r="N79" s="48" t="str">
        <f>CONCATENATE(ABS(VLOOKUP(CONCATENATE(VLOOKUP(A79,TEAMS,2,FALSE),TEXT(B79,"00")),PLAYERS,5,FALSE)),"k")</f>
        <v>75k</v>
      </c>
    </row>
    <row r="80" spans="1:14" x14ac:dyDescent="0.25">
      <c r="A80" s="6" t="s">
        <v>85</v>
      </c>
      <c r="B80" s="6">
        <v>3</v>
      </c>
      <c r="D80" s="49" t="str">
        <f>CONCATENATE("0-",VLOOKUP(CONCATENATE(VLOOKUP(A80,TEAMS,2,FALSE),TEXT(B80,"00")),PLAYERS,$D$1,FALSE),IF(VLOOKUP(CONCATENATE(VLOOKUP(A80,TEAMS,2,FALSE),TEXT(B80,"00")),PLAYERS,$D$1+1,FALSE)="BG"," *",""))</f>
        <v>0-4</v>
      </c>
      <c r="E80" s="50" t="str">
        <f>VLOOKUP(CONCATENATE(VLOOKUP(A80,TEAMS,2,FALSE),TEXT($B80,"00")),PLAYERS,E$1,FALSE)</f>
        <v>Elven Catcher</v>
      </c>
      <c r="F80" s="48">
        <f>VLOOKUP(CONCATENATE(VLOOKUP(A80,TEAMS,2,FALSE),TEXT($B80,"00")),PLAYERS,F$1,FALSE)</f>
        <v>8</v>
      </c>
      <c r="G80" s="48">
        <f>VLOOKUP(CONCATENATE(VLOOKUP(A80,TEAMS,2,FALSE),TEXT($B80,"00")),PLAYERS,G$1,FALSE)</f>
        <v>3</v>
      </c>
      <c r="H80" s="48" t="str">
        <f>CONCATENATE(VLOOKUP(CONCATENATE(VLOOKUP(A80,TEAMS,2,FALSE),TEXT($B80,"00")),PLAYERS,H$1,FALSE),"+")</f>
        <v>2+</v>
      </c>
      <c r="I80" s="48" t="str">
        <f>CONCATENATE(VLOOKUP(CONCATENATE(VLOOKUP(A80,TEAMS,2,FALSE),TEXT($B80,"00")),PLAYERS,I$1,FALSE),IF(VLOOKUP(CONCATENATE(VLOOKUP(A80,TEAMS,2,FALSE),TEXT($B80,"00")),PLAYERS,I$1,FALSE)="-","","+"))</f>
        <v>4+</v>
      </c>
      <c r="J80" s="48" t="str">
        <f>CONCATENATE(VLOOKUP(CONCATENATE(VLOOKUP(A80,TEAMS,2,FALSE),TEXT($B80,"00")),PLAYERS,J$1,FALSE),"+")</f>
        <v>8+</v>
      </c>
      <c r="K80" s="50" t="str">
        <f>VLOOKUP(CONCATENATE(VLOOKUP(A80,TEAMS,2,FALSE),TEXT($B80,"00")),PLAYERS,K$1,FALSE)</f>
        <v>Catch, Nerves of Steel</v>
      </c>
      <c r="L80" s="49" t="str">
        <f>VLOOKUP(CONCATENATE(VLOOKUP(A80,TEAMS,2,FALSE),TEXT($B80,"00")),PLAYERS,L$1,FALSE)</f>
        <v>AG</v>
      </c>
      <c r="M80" s="49" t="str">
        <f>VLOOKUP(CONCATENATE(VLOOKUP(A80,TEAMS,2,FALSE),TEXT($B80,"00")),PLAYERS,M$1,FALSE)</f>
        <v>S</v>
      </c>
      <c r="N80" s="48" t="str">
        <f>CONCATENATE(ABS(VLOOKUP(CONCATENATE(VLOOKUP(A80,TEAMS,2,FALSE),TEXT(B80,"00")),PLAYERS,5,FALSE)),"k")</f>
        <v>100k</v>
      </c>
    </row>
    <row r="81" spans="1:14" x14ac:dyDescent="0.25">
      <c r="A81" s="6" t="s">
        <v>85</v>
      </c>
      <c r="B81" s="6">
        <v>4</v>
      </c>
      <c r="D81" s="49" t="str">
        <f>CONCATENATE("0-",VLOOKUP(CONCATENATE(VLOOKUP(A81,TEAMS,2,FALSE),TEXT(B81,"00")),PLAYERS,$D$1,FALSE),IF(VLOOKUP(CONCATENATE(VLOOKUP(A81,TEAMS,2,FALSE),TEXT(B81,"00")),PLAYERS,$D$1+1,FALSE)="BG"," *",""))</f>
        <v>0-2</v>
      </c>
      <c r="E81" s="50" t="str">
        <f>VLOOKUP(CONCATENATE(VLOOKUP(A81,TEAMS,2,FALSE),TEXT($B81,"00")),PLAYERS,E$1,FALSE)</f>
        <v>Elven Blitzer</v>
      </c>
      <c r="F81" s="48">
        <f>VLOOKUP(CONCATENATE(VLOOKUP(A81,TEAMS,2,FALSE),TEXT($B81,"00")),PLAYERS,F$1,FALSE)</f>
        <v>7</v>
      </c>
      <c r="G81" s="48">
        <f>VLOOKUP(CONCATENATE(VLOOKUP(A81,TEAMS,2,FALSE),TEXT($B81,"00")),PLAYERS,G$1,FALSE)</f>
        <v>3</v>
      </c>
      <c r="H81" s="48" t="str">
        <f>CONCATENATE(VLOOKUP(CONCATENATE(VLOOKUP(A81,TEAMS,2,FALSE),TEXT($B81,"00")),PLAYERS,H$1,FALSE),"+")</f>
        <v>2+</v>
      </c>
      <c r="I81" s="48" t="str">
        <f>CONCATENATE(VLOOKUP(CONCATENATE(VLOOKUP(A81,TEAMS,2,FALSE),TEXT($B81,"00")),PLAYERS,I$1,FALSE),IF(VLOOKUP(CONCATENATE(VLOOKUP(A81,TEAMS,2,FALSE),TEXT($B81,"00")),PLAYERS,I$1,FALSE)="-","","+"))</f>
        <v>3+</v>
      </c>
      <c r="J81" s="48" t="str">
        <f>CONCATENATE(VLOOKUP(CONCATENATE(VLOOKUP(A81,TEAMS,2,FALSE),TEXT($B81,"00")),PLAYERS,J$1,FALSE),"+")</f>
        <v>9+</v>
      </c>
      <c r="K81" s="50" t="str">
        <f>VLOOKUP(CONCATENATE(VLOOKUP(A81,TEAMS,2,FALSE),TEXT($B81,"00")),PLAYERS,K$1,FALSE)</f>
        <v>Block, Sidestep</v>
      </c>
      <c r="L81" s="49" t="str">
        <f>VLOOKUP(CONCATENATE(VLOOKUP(A81,TEAMS,2,FALSE),TEXT($B81,"00")),PLAYERS,L$1,FALSE)</f>
        <v>AG</v>
      </c>
      <c r="M81" s="49" t="str">
        <f>VLOOKUP(CONCATENATE(VLOOKUP(A81,TEAMS,2,FALSE),TEXT($B81,"00")),PLAYERS,M$1,FALSE)</f>
        <v>PS</v>
      </c>
      <c r="N81" s="48" t="str">
        <f>CONCATENATE(ABS(VLOOKUP(CONCATENATE(VLOOKUP(A81,TEAMS,2,FALSE),TEXT(B81,"00")),PLAYERS,5,FALSE)),"k")</f>
        <v>115k</v>
      </c>
    </row>
    <row r="82" spans="1:14" x14ac:dyDescent="0.25">
      <c r="D82" s="17" t="s">
        <v>580</v>
      </c>
      <c r="E82" s="17" t="str">
        <f>CONCATENATE(VLOOKUP(A76,TEAMS,5,FALSE),"k")</f>
        <v>50k</v>
      </c>
      <c r="F82" s="364" t="s">
        <v>584</v>
      </c>
      <c r="G82" s="369"/>
      <c r="H82" s="369"/>
      <c r="I82" s="365"/>
      <c r="J82" s="48" t="str">
        <f>VLOOKUP(A76,TEAMS,6,FALSE)</f>
        <v>Yes</v>
      </c>
      <c r="K82" s="366" t="s">
        <v>585</v>
      </c>
      <c r="L82" s="367"/>
      <c r="M82" s="368"/>
      <c r="N82" s="51">
        <f>VLOOKUP(A76,TEAMS,8,FALSE)</f>
        <v>3</v>
      </c>
    </row>
    <row r="83" spans="1:14" ht="15" customHeight="1" x14ac:dyDescent="0.25">
      <c r="D83" s="364" t="s">
        <v>586</v>
      </c>
      <c r="E83" s="365"/>
      <c r="F83" s="360" t="str">
        <f>IFERROR(VLOOKUP(LEFT(VLOOKUP(A77,TEAMS,7,FALSE),3),SpecialRules,3,FALSE) &amp; VLOOKUP(MID(VLOOKUP(A77,TEAMS,7,FALSE),4,3),SpecialRules,3,FALSE),"")</f>
        <v/>
      </c>
      <c r="G83" s="360"/>
      <c r="H83" s="360"/>
      <c r="I83" s="360"/>
      <c r="J83" s="360"/>
      <c r="K83" s="360"/>
      <c r="L83" s="360"/>
      <c r="M83" s="360"/>
      <c r="N83" s="360"/>
    </row>
    <row r="84" spans="1:14" x14ac:dyDescent="0.25">
      <c r="D84" s="362"/>
      <c r="E84" s="362"/>
      <c r="F84" s="362"/>
      <c r="G84" s="362"/>
      <c r="H84" s="362"/>
      <c r="I84" s="362"/>
      <c r="J84" s="362"/>
      <c r="K84" s="362"/>
      <c r="L84" s="362"/>
      <c r="M84" s="362"/>
      <c r="N84" s="362"/>
    </row>
    <row r="85" spans="1:14" ht="21" x14ac:dyDescent="0.35">
      <c r="A85" s="6" t="s">
        <v>86</v>
      </c>
      <c r="B85" s="6">
        <v>8</v>
      </c>
      <c r="D85" s="354" t="str">
        <f>A85</f>
        <v>Goblin</v>
      </c>
      <c r="E85" s="355"/>
      <c r="F85" s="355"/>
      <c r="G85" s="355"/>
      <c r="H85" s="355"/>
      <c r="I85" s="355"/>
      <c r="J85" s="355"/>
      <c r="K85" s="355"/>
      <c r="L85" s="355"/>
      <c r="M85" s="355"/>
      <c r="N85" s="356"/>
    </row>
    <row r="86" spans="1:14" x14ac:dyDescent="0.25">
      <c r="A86" s="6" t="s">
        <v>86</v>
      </c>
      <c r="D86" s="17" t="s">
        <v>765</v>
      </c>
      <c r="E86" s="17" t="s">
        <v>3</v>
      </c>
      <c r="F86" s="48" t="s">
        <v>4</v>
      </c>
      <c r="G86" s="48" t="s">
        <v>5</v>
      </c>
      <c r="H86" s="48" t="s">
        <v>6</v>
      </c>
      <c r="I86" s="48" t="s">
        <v>7</v>
      </c>
      <c r="J86" s="48" t="s">
        <v>8</v>
      </c>
      <c r="K86" s="17" t="s">
        <v>566</v>
      </c>
      <c r="L86" s="17" t="s">
        <v>578</v>
      </c>
      <c r="M86" s="17" t="s">
        <v>579</v>
      </c>
      <c r="N86" s="51" t="s">
        <v>715</v>
      </c>
    </row>
    <row r="87" spans="1:14" x14ac:dyDescent="0.25">
      <c r="A87" s="6" t="s">
        <v>86</v>
      </c>
      <c r="B87" s="6">
        <v>1</v>
      </c>
      <c r="D87" s="49" t="str">
        <f t="shared" ref="D87:D94" si="11">CONCATENATE("0-",VLOOKUP(CONCATENATE(VLOOKUP(A87,TEAMS,2,FALSE),TEXT(B87,"00")),PLAYERS,$D$1,FALSE),IF(VLOOKUP(CONCATENATE(VLOOKUP(A87,TEAMS,2,FALSE),TEXT(B87,"00")),PLAYERS,$D$1+1,FALSE)="BG"," *",""))</f>
        <v>0-16</v>
      </c>
      <c r="E87" s="50" t="str">
        <f t="shared" ref="E87:E94" si="12">VLOOKUP(CONCATENATE(VLOOKUP(A87,TEAMS,2,FALSE),TEXT($B87,"00")),PLAYERS,E$1,FALSE)</f>
        <v>Goblin Lineman</v>
      </c>
      <c r="F87" s="48">
        <f t="shared" ref="F87:F94" si="13">VLOOKUP(CONCATENATE(VLOOKUP(A87,TEAMS,2,FALSE),TEXT($B87,"00")),PLAYERS,F$1,FALSE)</f>
        <v>6</v>
      </c>
      <c r="G87" s="48">
        <f t="shared" ref="G87:G94" si="14">VLOOKUP(CONCATENATE(VLOOKUP(A87,TEAMS,2,FALSE),TEXT($B87,"00")),PLAYERS,G$1,FALSE)</f>
        <v>2</v>
      </c>
      <c r="H87" s="48" t="str">
        <f t="shared" ref="H87:H94" si="15">CONCATENATE(VLOOKUP(CONCATENATE(VLOOKUP(A87,TEAMS,2,FALSE),TEXT($B87,"00")),PLAYERS,H$1,FALSE),"+")</f>
        <v>3+</v>
      </c>
      <c r="I87" s="48" t="str">
        <f t="shared" ref="I87:I94" si="16">CONCATENATE(VLOOKUP(CONCATENATE(VLOOKUP(A87,TEAMS,2,FALSE),TEXT($B87,"00")),PLAYERS,I$1,FALSE),IF(VLOOKUP(CONCATENATE(VLOOKUP(A87,TEAMS,2,FALSE),TEXT($B87,"00")),PLAYERS,I$1,FALSE)="-","","+"))</f>
        <v>4+</v>
      </c>
      <c r="J87" s="48" t="str">
        <f t="shared" ref="J87:J94" si="17">CONCATENATE(VLOOKUP(CONCATENATE(VLOOKUP(A87,TEAMS,2,FALSE),TEXT($B87,"00")),PLAYERS,J$1,FALSE),"+")</f>
        <v>8+</v>
      </c>
      <c r="K87" s="50" t="str">
        <f t="shared" ref="K87:K94" si="18">VLOOKUP(CONCATENATE(VLOOKUP(A87,TEAMS,2,FALSE),TEXT($B87,"00")),PLAYERS,K$1,FALSE)</f>
        <v>Dodge, Right Stuff*, Stunty*</v>
      </c>
      <c r="L87" s="49" t="str">
        <f t="shared" ref="L87:L94" si="19">VLOOKUP(CONCATENATE(VLOOKUP(A87,TEAMS,2,FALSE),TEXT($B87,"00")),PLAYERS,L$1,FALSE)</f>
        <v>A</v>
      </c>
      <c r="M87" s="49" t="str">
        <f t="shared" ref="M87:M94" si="20">VLOOKUP(CONCATENATE(VLOOKUP(A87,TEAMS,2,FALSE),TEXT($B87,"00")),PLAYERS,M$1,FALSE)</f>
        <v>GPS</v>
      </c>
      <c r="N87" s="48" t="str">
        <f t="shared" ref="N87:N94" si="21">CONCATENATE(ABS(VLOOKUP(CONCATENATE(VLOOKUP(A87,TEAMS,2,FALSE),TEXT(B87,"00")),PLAYERS,5,FALSE)),"k")</f>
        <v>40k</v>
      </c>
    </row>
    <row r="88" spans="1:14" x14ac:dyDescent="0.25">
      <c r="A88" s="6" t="s">
        <v>86</v>
      </c>
      <c r="B88" s="6">
        <v>2</v>
      </c>
      <c r="D88" s="49" t="str">
        <f t="shared" si="11"/>
        <v>0-1</v>
      </c>
      <c r="E88" s="50" t="str">
        <f t="shared" si="12"/>
        <v>Bomma</v>
      </c>
      <c r="F88" s="48">
        <f t="shared" si="13"/>
        <v>6</v>
      </c>
      <c r="G88" s="48">
        <f t="shared" si="14"/>
        <v>2</v>
      </c>
      <c r="H88" s="48" t="str">
        <f t="shared" si="15"/>
        <v>3+</v>
      </c>
      <c r="I88" s="48" t="str">
        <f t="shared" si="16"/>
        <v>4+</v>
      </c>
      <c r="J88" s="48" t="str">
        <f t="shared" si="17"/>
        <v>8+</v>
      </c>
      <c r="K88" s="50" t="str">
        <f t="shared" si="18"/>
        <v>Bombardier, Dodge, Secret Weapon*, Stunty*</v>
      </c>
      <c r="L88" s="49" t="str">
        <f t="shared" si="19"/>
        <v>A</v>
      </c>
      <c r="M88" s="49" t="str">
        <f t="shared" si="20"/>
        <v>GPS</v>
      </c>
      <c r="N88" s="48" t="str">
        <f t="shared" si="21"/>
        <v>45k</v>
      </c>
    </row>
    <row r="89" spans="1:14" x14ac:dyDescent="0.25">
      <c r="A89" s="6" t="s">
        <v>86</v>
      </c>
      <c r="B89" s="6">
        <v>3</v>
      </c>
      <c r="D89" s="49" t="str">
        <f t="shared" si="11"/>
        <v>0-1</v>
      </c>
      <c r="E89" s="50" t="str">
        <f t="shared" si="12"/>
        <v>Looney</v>
      </c>
      <c r="F89" s="48">
        <f t="shared" si="13"/>
        <v>6</v>
      </c>
      <c r="G89" s="48">
        <f t="shared" si="14"/>
        <v>2</v>
      </c>
      <c r="H89" s="48" t="str">
        <f t="shared" si="15"/>
        <v>3+</v>
      </c>
      <c r="I89" s="48" t="str">
        <f t="shared" si="16"/>
        <v>-</v>
      </c>
      <c r="J89" s="48" t="str">
        <f t="shared" si="17"/>
        <v>8+</v>
      </c>
      <c r="K89" s="50" t="str">
        <f t="shared" si="18"/>
        <v>Chainsaw*, Secret Weapon*, Stunty*</v>
      </c>
      <c r="L89" s="49" t="str">
        <f t="shared" si="19"/>
        <v>A</v>
      </c>
      <c r="M89" s="49" t="str">
        <f t="shared" si="20"/>
        <v>GS</v>
      </c>
      <c r="N89" s="48" t="str">
        <f t="shared" si="21"/>
        <v>40k</v>
      </c>
    </row>
    <row r="90" spans="1:14" ht="30" x14ac:dyDescent="0.25">
      <c r="A90" s="6" t="s">
        <v>86</v>
      </c>
      <c r="B90" s="6">
        <v>4</v>
      </c>
      <c r="D90" s="49" t="str">
        <f t="shared" si="11"/>
        <v>0-1</v>
      </c>
      <c r="E90" s="50" t="str">
        <f t="shared" si="12"/>
        <v>Fanatic</v>
      </c>
      <c r="F90" s="48">
        <f t="shared" si="13"/>
        <v>3</v>
      </c>
      <c r="G90" s="48">
        <f t="shared" si="14"/>
        <v>7</v>
      </c>
      <c r="H90" s="48" t="str">
        <f t="shared" si="15"/>
        <v>3+</v>
      </c>
      <c r="I90" s="48" t="str">
        <f t="shared" si="16"/>
        <v>-</v>
      </c>
      <c r="J90" s="48" t="str">
        <f t="shared" si="17"/>
        <v>8+</v>
      </c>
      <c r="K90" s="50" t="str">
        <f t="shared" si="18"/>
        <v>Ball &amp; Chain*, No Hands*, Secret Weapon*, Stunty*</v>
      </c>
      <c r="L90" s="49" t="str">
        <f t="shared" si="19"/>
        <v>S</v>
      </c>
      <c r="M90" s="49" t="str">
        <f t="shared" si="20"/>
        <v>AG</v>
      </c>
      <c r="N90" s="48" t="str">
        <f t="shared" si="21"/>
        <v>70k</v>
      </c>
    </row>
    <row r="91" spans="1:14" x14ac:dyDescent="0.25">
      <c r="A91" s="6" t="s">
        <v>86</v>
      </c>
      <c r="B91" s="6">
        <v>5</v>
      </c>
      <c r="D91" s="49" t="str">
        <f t="shared" si="11"/>
        <v>0-1</v>
      </c>
      <c r="E91" s="50" t="str">
        <f t="shared" si="12"/>
        <v>Pogoer</v>
      </c>
      <c r="F91" s="48">
        <f t="shared" si="13"/>
        <v>7</v>
      </c>
      <c r="G91" s="48">
        <f t="shared" si="14"/>
        <v>2</v>
      </c>
      <c r="H91" s="48" t="str">
        <f t="shared" si="15"/>
        <v>3+</v>
      </c>
      <c r="I91" s="48" t="str">
        <f t="shared" si="16"/>
        <v>5+</v>
      </c>
      <c r="J91" s="48" t="str">
        <f t="shared" si="17"/>
        <v>8+</v>
      </c>
      <c r="K91" s="50" t="str">
        <f t="shared" si="18"/>
        <v>Dodge, Pogo Stick, Stunty*</v>
      </c>
      <c r="L91" s="49" t="str">
        <f t="shared" si="19"/>
        <v>A</v>
      </c>
      <c r="M91" s="49" t="str">
        <f t="shared" si="20"/>
        <v>GPS</v>
      </c>
      <c r="N91" s="48" t="str">
        <f t="shared" si="21"/>
        <v>75k</v>
      </c>
    </row>
    <row r="92" spans="1:14" ht="30" x14ac:dyDescent="0.25">
      <c r="A92" s="6" t="s">
        <v>86</v>
      </c>
      <c r="B92" s="6">
        <v>6</v>
      </c>
      <c r="D92" s="49" t="str">
        <f t="shared" si="11"/>
        <v>0-1</v>
      </c>
      <c r="E92" s="50" t="str">
        <f t="shared" si="12"/>
        <v>'Ooligan</v>
      </c>
      <c r="F92" s="48">
        <f t="shared" si="13"/>
        <v>6</v>
      </c>
      <c r="G92" s="48">
        <f t="shared" si="14"/>
        <v>2</v>
      </c>
      <c r="H92" s="48" t="str">
        <f t="shared" si="15"/>
        <v>3+</v>
      </c>
      <c r="I92" s="48" t="str">
        <f t="shared" si="16"/>
        <v>6+</v>
      </c>
      <c r="J92" s="48" t="str">
        <f t="shared" si="17"/>
        <v>8+</v>
      </c>
      <c r="K92" s="50" t="str">
        <f t="shared" si="18"/>
        <v>Dirty Player (+1), Disturbing Presence*, Dodge, Right Stuff*, Stunty*</v>
      </c>
      <c r="L92" s="49" t="str">
        <f t="shared" si="19"/>
        <v>A</v>
      </c>
      <c r="M92" s="49" t="str">
        <f t="shared" si="20"/>
        <v>GPS</v>
      </c>
      <c r="N92" s="48" t="str">
        <f t="shared" si="21"/>
        <v>65k</v>
      </c>
    </row>
    <row r="93" spans="1:14" x14ac:dyDescent="0.25">
      <c r="A93" s="6" t="s">
        <v>86</v>
      </c>
      <c r="B93" s="6">
        <v>7</v>
      </c>
      <c r="D93" s="49" t="str">
        <f t="shared" si="11"/>
        <v>0-1</v>
      </c>
      <c r="E93" s="50" t="str">
        <f t="shared" si="12"/>
        <v>Doom Diver</v>
      </c>
      <c r="F93" s="48">
        <f t="shared" si="13"/>
        <v>6</v>
      </c>
      <c r="G93" s="48">
        <f t="shared" si="14"/>
        <v>2</v>
      </c>
      <c r="H93" s="48" t="str">
        <f t="shared" si="15"/>
        <v>3+</v>
      </c>
      <c r="I93" s="48" t="str">
        <f t="shared" si="16"/>
        <v>6+</v>
      </c>
      <c r="J93" s="48" t="str">
        <f t="shared" si="17"/>
        <v>8+</v>
      </c>
      <c r="K93" s="50" t="str">
        <f t="shared" si="18"/>
        <v>Right Stuff*, Stunty*, Swoop</v>
      </c>
      <c r="L93" s="49" t="str">
        <f t="shared" si="19"/>
        <v>A</v>
      </c>
      <c r="M93" s="49" t="str">
        <f t="shared" si="20"/>
        <v>GS</v>
      </c>
      <c r="N93" s="48" t="str">
        <f t="shared" si="21"/>
        <v>60k</v>
      </c>
    </row>
    <row r="94" spans="1:14" ht="45" x14ac:dyDescent="0.25">
      <c r="A94" s="6" t="s">
        <v>86</v>
      </c>
      <c r="B94" s="6">
        <v>8</v>
      </c>
      <c r="D94" s="49" t="str">
        <f t="shared" si="11"/>
        <v>0-2</v>
      </c>
      <c r="E94" s="50" t="str">
        <f t="shared" si="12"/>
        <v>Trained Troll</v>
      </c>
      <c r="F94" s="48">
        <f t="shared" si="13"/>
        <v>4</v>
      </c>
      <c r="G94" s="48">
        <f t="shared" si="14"/>
        <v>5</v>
      </c>
      <c r="H94" s="48" t="str">
        <f t="shared" si="15"/>
        <v>5+</v>
      </c>
      <c r="I94" s="48" t="str">
        <f t="shared" si="16"/>
        <v>5+</v>
      </c>
      <c r="J94" s="48" t="str">
        <f t="shared" si="17"/>
        <v>10+</v>
      </c>
      <c r="K94" s="50" t="str">
        <f t="shared" si="18"/>
        <v>Always Hungry*, Loner (3+)*, Mighty Blow (+1), Projectile Vomit, Really Stupid*, Regeneration, Throw Team-mate</v>
      </c>
      <c r="L94" s="49" t="str">
        <f t="shared" si="19"/>
        <v>S</v>
      </c>
      <c r="M94" s="49" t="str">
        <f t="shared" si="20"/>
        <v>AGP</v>
      </c>
      <c r="N94" s="48" t="str">
        <f t="shared" si="21"/>
        <v>115k</v>
      </c>
    </row>
    <row r="95" spans="1:14" x14ac:dyDescent="0.25">
      <c r="D95" s="17" t="s">
        <v>580</v>
      </c>
      <c r="E95" s="17" t="str">
        <f>CONCATENATE(VLOOKUP(A85,TEAMS,5,FALSE),"k")</f>
        <v>60k</v>
      </c>
      <c r="F95" s="364" t="s">
        <v>584</v>
      </c>
      <c r="G95" s="369"/>
      <c r="H95" s="369"/>
      <c r="I95" s="365"/>
      <c r="J95" s="48" t="str">
        <f>VLOOKUP(A85,TEAMS,6,FALSE)</f>
        <v>Yes</v>
      </c>
      <c r="K95" s="366" t="s">
        <v>585</v>
      </c>
      <c r="L95" s="367"/>
      <c r="M95" s="368"/>
      <c r="N95" s="51">
        <f>VLOOKUP(A85,TEAMS,8,FALSE)</f>
        <v>6</v>
      </c>
    </row>
    <row r="96" spans="1:14" ht="32.25" customHeight="1" x14ac:dyDescent="0.25">
      <c r="D96" s="364" t="s">
        <v>586</v>
      </c>
      <c r="E96" s="365"/>
      <c r="F96" s="360" t="str">
        <f>IFERROR(VLOOKUP(LEFT(VLOOKUP(A90,TEAMS,7,FALSE),3),SpecialRules,3,FALSE) &amp; VLOOKUP(MID(VLOOKUP(A90,TEAMS,7,FALSE),4,3),SpecialRules,3,FALSE),"")</f>
        <v>Once per game, when rolling on the Argue the Call table, you may re-roll a roll of a natural 1. Bribes are 50,000 gold pieces each.</v>
      </c>
      <c r="G96" s="360"/>
      <c r="H96" s="360"/>
      <c r="I96" s="360"/>
      <c r="J96" s="360"/>
      <c r="K96" s="360"/>
      <c r="L96" s="360"/>
      <c r="M96" s="360"/>
      <c r="N96" s="360"/>
    </row>
    <row r="97" spans="1:14" x14ac:dyDescent="0.25">
      <c r="D97" s="362"/>
      <c r="E97" s="362"/>
      <c r="F97" s="362"/>
      <c r="G97" s="362"/>
      <c r="H97" s="362"/>
      <c r="I97" s="362"/>
      <c r="J97" s="362"/>
      <c r="K97" s="362"/>
      <c r="L97" s="362"/>
      <c r="M97" s="362"/>
      <c r="N97" s="362"/>
    </row>
    <row r="98" spans="1:14" ht="21" x14ac:dyDescent="0.35">
      <c r="A98" s="6" t="s">
        <v>604</v>
      </c>
      <c r="B98" s="6">
        <v>4</v>
      </c>
      <c r="D98" s="354" t="str">
        <f>A98</f>
        <v>Halfling</v>
      </c>
      <c r="E98" s="355"/>
      <c r="F98" s="355"/>
      <c r="G98" s="355"/>
      <c r="H98" s="355"/>
      <c r="I98" s="355"/>
      <c r="J98" s="355"/>
      <c r="K98" s="355"/>
      <c r="L98" s="355"/>
      <c r="M98" s="355"/>
      <c r="N98" s="356"/>
    </row>
    <row r="99" spans="1:14" x14ac:dyDescent="0.25">
      <c r="A99" s="6" t="s">
        <v>604</v>
      </c>
      <c r="D99" s="17" t="s">
        <v>765</v>
      </c>
      <c r="E99" s="17" t="s">
        <v>3</v>
      </c>
      <c r="F99" s="48" t="s">
        <v>4</v>
      </c>
      <c r="G99" s="48" t="s">
        <v>5</v>
      </c>
      <c r="H99" s="48" t="s">
        <v>6</v>
      </c>
      <c r="I99" s="48" t="s">
        <v>7</v>
      </c>
      <c r="J99" s="48" t="s">
        <v>8</v>
      </c>
      <c r="K99" s="17" t="s">
        <v>566</v>
      </c>
      <c r="L99" s="17" t="s">
        <v>578</v>
      </c>
      <c r="M99" s="17" t="s">
        <v>579</v>
      </c>
      <c r="N99" s="51" t="s">
        <v>715</v>
      </c>
    </row>
    <row r="100" spans="1:14" x14ac:dyDescent="0.25">
      <c r="A100" s="6" t="s">
        <v>604</v>
      </c>
      <c r="B100" s="6">
        <v>1</v>
      </c>
      <c r="D100" s="49" t="str">
        <f>CONCATENATE("0-",VLOOKUP(CONCATENATE(VLOOKUP(A100,TEAMS,2,FALSE),TEXT(B100,"00")),PLAYERS,$D$1,FALSE),IF(VLOOKUP(CONCATENATE(VLOOKUP(A100,TEAMS,2,FALSE),TEXT(B100,"00")),PLAYERS,$D$1+1,FALSE)="BG"," *",""))</f>
        <v>0-16</v>
      </c>
      <c r="E100" s="50" t="str">
        <f>VLOOKUP(CONCATENATE(VLOOKUP(A100,TEAMS,2,FALSE),TEXT($B100,"00")),PLAYERS,E$1,FALSE)</f>
        <v>Halfling Hopeful Lineman</v>
      </c>
      <c r="F100" s="48">
        <f>VLOOKUP(CONCATENATE(VLOOKUP(A100,TEAMS,2,FALSE),TEXT($B100,"00")),PLAYERS,F$1,FALSE)</f>
        <v>5</v>
      </c>
      <c r="G100" s="48">
        <f>VLOOKUP(CONCATENATE(VLOOKUP(A100,TEAMS,2,FALSE),TEXT($B100,"00")),PLAYERS,G$1,FALSE)</f>
        <v>2</v>
      </c>
      <c r="H100" s="48" t="str">
        <f>CONCATENATE(VLOOKUP(CONCATENATE(VLOOKUP(A100,TEAMS,2,FALSE),TEXT($B100,"00")),PLAYERS,H$1,FALSE),"+")</f>
        <v>3+</v>
      </c>
      <c r="I100" s="48" t="str">
        <f>CONCATENATE(VLOOKUP(CONCATENATE(VLOOKUP(A100,TEAMS,2,FALSE),TEXT($B100,"00")),PLAYERS,I$1,FALSE),IF(VLOOKUP(CONCATENATE(VLOOKUP(A100,TEAMS,2,FALSE),TEXT($B100,"00")),PLAYERS,I$1,FALSE)="-","","+"))</f>
        <v>4+</v>
      </c>
      <c r="J100" s="48" t="str">
        <f>CONCATENATE(VLOOKUP(CONCATENATE(VLOOKUP(A100,TEAMS,2,FALSE),TEXT($B100,"00")),PLAYERS,J$1,FALSE),"+")</f>
        <v>7+</v>
      </c>
      <c r="K100" s="50" t="str">
        <f>VLOOKUP(CONCATENATE(VLOOKUP(A100,TEAMS,2,FALSE),TEXT($B100,"00")),PLAYERS,K$1,FALSE)</f>
        <v>Dodge, Right Stuff*, Stunty*</v>
      </c>
      <c r="L100" s="49" t="str">
        <f>VLOOKUP(CONCATENATE(VLOOKUP(A100,TEAMS,2,FALSE),TEXT($B100,"00")),PLAYERS,L$1,FALSE)</f>
        <v>A</v>
      </c>
      <c r="M100" s="49" t="str">
        <f>VLOOKUP(CONCATENATE(VLOOKUP(A100,TEAMS,2,FALSE),TEXT($B100,"00")),PLAYERS,M$1,FALSE)</f>
        <v>GS</v>
      </c>
      <c r="N100" s="48" t="str">
        <f>CONCATENATE(ABS(VLOOKUP(CONCATENATE(VLOOKUP(A100,TEAMS,2,FALSE),TEXT(B100,"00")),PLAYERS,5,FALSE)),"k")</f>
        <v>30k</v>
      </c>
    </row>
    <row r="101" spans="1:14" x14ac:dyDescent="0.25">
      <c r="A101" s="6" t="s">
        <v>604</v>
      </c>
      <c r="B101" s="6">
        <v>2</v>
      </c>
      <c r="D101" s="49" t="str">
        <f>CONCATENATE("0-",VLOOKUP(CONCATENATE(VLOOKUP(A101,TEAMS,2,FALSE),TEXT(B101,"00")),PLAYERS,$D$1,FALSE),IF(VLOOKUP(CONCATENATE(VLOOKUP(A101,TEAMS,2,FALSE),TEXT(B101,"00")),PLAYERS,$D$1+1,FALSE)="BG"," *",""))</f>
        <v>0-2</v>
      </c>
      <c r="E101" s="50" t="str">
        <f>VLOOKUP(CONCATENATE(VLOOKUP(A101,TEAMS,2,FALSE),TEXT($B101,"00")),PLAYERS,E$1,FALSE)</f>
        <v>Halfling Hefty</v>
      </c>
      <c r="F101" s="48">
        <f>VLOOKUP(CONCATENATE(VLOOKUP(A101,TEAMS,2,FALSE),TEXT($B101,"00")),PLAYERS,F$1,FALSE)</f>
        <v>5</v>
      </c>
      <c r="G101" s="48">
        <f>VLOOKUP(CONCATENATE(VLOOKUP(A101,TEAMS,2,FALSE),TEXT($B101,"00")),PLAYERS,G$1,FALSE)</f>
        <v>2</v>
      </c>
      <c r="H101" s="48" t="str">
        <f>CONCATENATE(VLOOKUP(CONCATENATE(VLOOKUP(A101,TEAMS,2,FALSE),TEXT($B101,"00")),PLAYERS,H$1,FALSE),"+")</f>
        <v>3+</v>
      </c>
      <c r="I101" s="48" t="str">
        <f>CONCATENATE(VLOOKUP(CONCATENATE(VLOOKUP(A101,TEAMS,2,FALSE),TEXT($B101,"00")),PLAYERS,I$1,FALSE),IF(VLOOKUP(CONCATENATE(VLOOKUP(A101,TEAMS,2,FALSE),TEXT($B101,"00")),PLAYERS,I$1,FALSE)="-","","+"))</f>
        <v>3+</v>
      </c>
      <c r="J101" s="48" t="str">
        <f>CONCATENATE(VLOOKUP(CONCATENATE(VLOOKUP(A101,TEAMS,2,FALSE),TEXT($B101,"00")),PLAYERS,J$1,FALSE),"+")</f>
        <v>8+</v>
      </c>
      <c r="K101" s="50" t="str">
        <f>VLOOKUP(CONCATENATE(VLOOKUP(A101,TEAMS,2,FALSE),TEXT($B101,"00")),PLAYERS,K$1,FALSE)</f>
        <v>Dodge, Fend, Stunty*</v>
      </c>
      <c r="L101" s="49" t="str">
        <f>VLOOKUP(CONCATENATE(VLOOKUP(A101,TEAMS,2,FALSE),TEXT($B101,"00")),PLAYERS,L$1,FALSE)</f>
        <v>AP</v>
      </c>
      <c r="M101" s="49" t="str">
        <f>VLOOKUP(CONCATENATE(VLOOKUP(A101,TEAMS,2,FALSE),TEXT($B101,"00")),PLAYERS,M$1,FALSE)</f>
        <v>GS</v>
      </c>
      <c r="N101" s="48" t="str">
        <f>CONCATENATE(ABS(VLOOKUP(CONCATENATE(VLOOKUP(A101,TEAMS,2,FALSE),TEXT(B101,"00")),PLAYERS,5,FALSE)),"k")</f>
        <v>50k</v>
      </c>
    </row>
    <row r="102" spans="1:14" x14ac:dyDescent="0.25">
      <c r="A102" s="6" t="s">
        <v>604</v>
      </c>
      <c r="B102" s="6">
        <v>3</v>
      </c>
      <c r="D102" s="49" t="str">
        <f>CONCATENATE("0-",VLOOKUP(CONCATENATE(VLOOKUP(A102,TEAMS,2,FALSE),TEXT(B102,"00")),PLAYERS,$D$1,FALSE),IF(VLOOKUP(CONCATENATE(VLOOKUP(A102,TEAMS,2,FALSE),TEXT(B102,"00")),PLAYERS,$D$1+1,FALSE)="BG"," *",""))</f>
        <v>0-2</v>
      </c>
      <c r="E102" s="50" t="str">
        <f>VLOOKUP(CONCATENATE(VLOOKUP(A102,TEAMS,2,FALSE),TEXT($B102,"00")),PLAYERS,E$1,FALSE)</f>
        <v>Halfling Catcher</v>
      </c>
      <c r="F102" s="48">
        <f>VLOOKUP(CONCATENATE(VLOOKUP(A102,TEAMS,2,FALSE),TEXT($B102,"00")),PLAYERS,F$1,FALSE)</f>
        <v>5</v>
      </c>
      <c r="G102" s="48">
        <f>VLOOKUP(CONCATENATE(VLOOKUP(A102,TEAMS,2,FALSE),TEXT($B102,"00")),PLAYERS,G$1,FALSE)</f>
        <v>2</v>
      </c>
      <c r="H102" s="48" t="str">
        <f>CONCATENATE(VLOOKUP(CONCATENATE(VLOOKUP(A102,TEAMS,2,FALSE),TEXT($B102,"00")),PLAYERS,H$1,FALSE),"+")</f>
        <v>3+</v>
      </c>
      <c r="I102" s="48" t="str">
        <f>CONCATENATE(VLOOKUP(CONCATENATE(VLOOKUP(A102,TEAMS,2,FALSE),TEXT($B102,"00")),PLAYERS,I$1,FALSE),IF(VLOOKUP(CONCATENATE(VLOOKUP(A102,TEAMS,2,FALSE),TEXT($B102,"00")),PLAYERS,I$1,FALSE)="-","","+"))</f>
        <v>5+</v>
      </c>
      <c r="J102" s="48" t="str">
        <f>CONCATENATE(VLOOKUP(CONCATENATE(VLOOKUP(A102,TEAMS,2,FALSE),TEXT($B102,"00")),PLAYERS,J$1,FALSE),"+")</f>
        <v>7+</v>
      </c>
      <c r="K102" s="50" t="str">
        <f>VLOOKUP(CONCATENATE(VLOOKUP(A102,TEAMS,2,FALSE),TEXT($B102,"00")),PLAYERS,K$1,FALSE)</f>
        <v>Catch, Dodge, Right Stuff*, Sprint, Stunty*</v>
      </c>
      <c r="L102" s="49" t="str">
        <f>VLOOKUP(CONCATENATE(VLOOKUP(A102,TEAMS,2,FALSE),TEXT($B102,"00")),PLAYERS,L$1,FALSE)</f>
        <v>A</v>
      </c>
      <c r="M102" s="49" t="str">
        <f>VLOOKUP(CONCATENATE(VLOOKUP(A102,TEAMS,2,FALSE),TEXT($B102,"00")),PLAYERS,M$1,FALSE)</f>
        <v>GS</v>
      </c>
      <c r="N102" s="48" t="str">
        <f>CONCATENATE(ABS(VLOOKUP(CONCATENATE(VLOOKUP(A102,TEAMS,2,FALSE),TEXT(B102,"00")),PLAYERS,5,FALSE)),"k")</f>
        <v>55k</v>
      </c>
    </row>
    <row r="103" spans="1:14" ht="45" x14ac:dyDescent="0.25">
      <c r="A103" s="6" t="s">
        <v>604</v>
      </c>
      <c r="B103" s="6">
        <v>4</v>
      </c>
      <c r="D103" s="49" t="str">
        <f>CONCATENATE("0-",VLOOKUP(CONCATENATE(VLOOKUP(A103,TEAMS,2,FALSE),TEXT(B103,"00")),PLAYERS,$D$1,FALSE),IF(VLOOKUP(CONCATENATE(VLOOKUP(A103,TEAMS,2,FALSE),TEXT(B103,"00")),PLAYERS,$D$1+1,FALSE)="BG"," *",""))</f>
        <v>0-2</v>
      </c>
      <c r="E103" s="50" t="str">
        <f>VLOOKUP(CONCATENATE(VLOOKUP(A103,TEAMS,2,FALSE),TEXT($B103,"00")),PLAYERS,E$1,FALSE)</f>
        <v>Altern Forest Treeman</v>
      </c>
      <c r="F103" s="48">
        <f>VLOOKUP(CONCATENATE(VLOOKUP(A103,TEAMS,2,FALSE),TEXT($B103,"00")),PLAYERS,F$1,FALSE)</f>
        <v>2</v>
      </c>
      <c r="G103" s="48">
        <f>VLOOKUP(CONCATENATE(VLOOKUP(A103,TEAMS,2,FALSE),TEXT($B103,"00")),PLAYERS,G$1,FALSE)</f>
        <v>6</v>
      </c>
      <c r="H103" s="48" t="str">
        <f>CONCATENATE(VLOOKUP(CONCATENATE(VLOOKUP(A103,TEAMS,2,FALSE),TEXT($B103,"00")),PLAYERS,H$1,FALSE),"+")</f>
        <v>5+</v>
      </c>
      <c r="I103" s="48" t="str">
        <f>CONCATENATE(VLOOKUP(CONCATENATE(VLOOKUP(A103,TEAMS,2,FALSE),TEXT($B103,"00")),PLAYERS,I$1,FALSE),IF(VLOOKUP(CONCATENATE(VLOOKUP(A103,TEAMS,2,FALSE),TEXT($B103,"00")),PLAYERS,I$1,FALSE)="-","","+"))</f>
        <v>5+</v>
      </c>
      <c r="J103" s="48" t="str">
        <f>CONCATENATE(VLOOKUP(CONCATENATE(VLOOKUP(A103,TEAMS,2,FALSE),TEXT($B103,"00")),PLAYERS,J$1,FALSE),"+")</f>
        <v>11+</v>
      </c>
      <c r="K103" s="50" t="str">
        <f>VLOOKUP(CONCATENATE(VLOOKUP(A103,TEAMS,2,FALSE),TEXT($B103,"00")),PLAYERS,K$1,FALSE)</f>
        <v>Mighty Blow (+1), Stand Firm, Strong Arm, Take Root*, Thick Skull, Throw Team-mate, Timmm-ber!</v>
      </c>
      <c r="L103" s="49" t="str">
        <f>VLOOKUP(CONCATENATE(VLOOKUP(A103,TEAMS,2,FALSE),TEXT($B103,"00")),PLAYERS,L$1,FALSE)</f>
        <v>S</v>
      </c>
      <c r="M103" s="49" t="str">
        <f>VLOOKUP(CONCATENATE(VLOOKUP(A103,TEAMS,2,FALSE),TEXT($B103,"00")),PLAYERS,M$1,FALSE)</f>
        <v>AGP</v>
      </c>
      <c r="N103" s="48" t="str">
        <f>CONCATENATE(ABS(VLOOKUP(CONCATENATE(VLOOKUP(A103,TEAMS,2,FALSE),TEXT(B103,"00")),PLAYERS,5,FALSE)),"k")</f>
        <v>120k</v>
      </c>
    </row>
    <row r="104" spans="1:14" x14ac:dyDescent="0.25">
      <c r="D104" s="17" t="s">
        <v>580</v>
      </c>
      <c r="E104" s="17" t="str">
        <f>CONCATENATE(VLOOKUP(A98,TEAMS,5,FALSE),"k")</f>
        <v>60k</v>
      </c>
      <c r="F104" s="364" t="s">
        <v>584</v>
      </c>
      <c r="G104" s="369"/>
      <c r="H104" s="369"/>
      <c r="I104" s="365"/>
      <c r="J104" s="48" t="str">
        <f>VLOOKUP(A98,TEAMS,6,FALSE)</f>
        <v>Yes</v>
      </c>
      <c r="K104" s="366" t="s">
        <v>585</v>
      </c>
      <c r="L104" s="367"/>
      <c r="M104" s="368"/>
      <c r="N104" s="51">
        <f>VLOOKUP(A98,TEAMS,8,FALSE)</f>
        <v>6</v>
      </c>
    </row>
    <row r="105" spans="1:14" ht="15" customHeight="1" x14ac:dyDescent="0.25">
      <c r="D105" s="364" t="s">
        <v>586</v>
      </c>
      <c r="E105" s="365"/>
      <c r="F105" s="360" t="str">
        <f>IFERROR(VLOOKUP(LEFT(VLOOKUP(A99,TEAMS,7,FALSE),3),SpecialRules,3,FALSE) &amp; VLOOKUP(MID(VLOOKUP(A99,TEAMS,7,FALSE),4,3),SpecialRules,3,FALSE),"")</f>
        <v>A Master Chef costs only 100,000 gold pieces.</v>
      </c>
      <c r="G105" s="360"/>
      <c r="H105" s="360"/>
      <c r="I105" s="360"/>
      <c r="J105" s="360"/>
      <c r="K105" s="360"/>
      <c r="L105" s="360"/>
      <c r="M105" s="360"/>
      <c r="N105" s="360"/>
    </row>
    <row r="106" spans="1:14" ht="15" customHeight="1" x14ac:dyDescent="0.25">
      <c r="D106" s="141"/>
      <c r="E106" s="141"/>
      <c r="F106" s="142"/>
      <c r="G106" s="142"/>
      <c r="H106" s="142"/>
      <c r="I106" s="142"/>
      <c r="J106" s="142"/>
      <c r="K106" s="142"/>
      <c r="L106" s="142"/>
      <c r="M106" s="142"/>
      <c r="N106" s="142"/>
    </row>
    <row r="107" spans="1:14" ht="21.6" customHeight="1" x14ac:dyDescent="0.35">
      <c r="A107" s="6" t="s">
        <v>87</v>
      </c>
      <c r="B107" s="6">
        <v>4</v>
      </c>
      <c r="D107" s="354" t="str">
        <f>A107</f>
        <v>High Elf</v>
      </c>
      <c r="E107" s="355"/>
      <c r="F107" s="355"/>
      <c r="G107" s="355"/>
      <c r="H107" s="355"/>
      <c r="I107" s="355"/>
      <c r="J107" s="355"/>
      <c r="K107" s="355"/>
      <c r="L107" s="355"/>
      <c r="M107" s="355"/>
      <c r="N107" s="356"/>
    </row>
    <row r="108" spans="1:14" ht="15" customHeight="1" x14ac:dyDescent="0.25">
      <c r="A108" s="6" t="s">
        <v>87</v>
      </c>
      <c r="D108" s="17" t="s">
        <v>765</v>
      </c>
      <c r="E108" s="17" t="s">
        <v>3</v>
      </c>
      <c r="F108" s="48" t="s">
        <v>4</v>
      </c>
      <c r="G108" s="48" t="s">
        <v>5</v>
      </c>
      <c r="H108" s="48" t="s">
        <v>6</v>
      </c>
      <c r="I108" s="48" t="s">
        <v>7</v>
      </c>
      <c r="J108" s="48" t="s">
        <v>8</v>
      </c>
      <c r="K108" s="17" t="s">
        <v>566</v>
      </c>
      <c r="L108" s="17" t="s">
        <v>578</v>
      </c>
      <c r="M108" s="17" t="s">
        <v>579</v>
      </c>
      <c r="N108" s="51" t="s">
        <v>715</v>
      </c>
    </row>
    <row r="109" spans="1:14" ht="15" customHeight="1" x14ac:dyDescent="0.25">
      <c r="A109" s="6" t="s">
        <v>87</v>
      </c>
      <c r="B109" s="6">
        <v>1</v>
      </c>
      <c r="D109" s="49" t="str">
        <f>CONCATENATE("0-",VLOOKUP(CONCATENATE(VLOOKUP(A109,TEAMS,2,FALSE),TEXT(B109,"00")),PLAYERS,$D$1,FALSE),IF(VLOOKUP(CONCATENATE(VLOOKUP(A109,TEAMS,2,FALSE),TEXT(B109,"00")),PLAYERS,$D$1+1,FALSE)="BG"," *",""))</f>
        <v>0-16</v>
      </c>
      <c r="E109" s="50" t="str">
        <f>VLOOKUP(CONCATENATE(VLOOKUP(A109,TEAMS,2,FALSE),TEXT($B109,"00")),PLAYERS,E$1,FALSE)</f>
        <v>High Elf Lineman</v>
      </c>
      <c r="F109" s="48">
        <f>VLOOKUP(CONCATENATE(VLOOKUP(A109,TEAMS,2,FALSE),TEXT($B109,"00")),PLAYERS,F$1,FALSE)</f>
        <v>6</v>
      </c>
      <c r="G109" s="48">
        <f>VLOOKUP(CONCATENATE(VLOOKUP(A109,TEAMS,2,FALSE),TEXT($B109,"00")),PLAYERS,G$1,FALSE)</f>
        <v>3</v>
      </c>
      <c r="H109" s="48" t="str">
        <f>CONCATENATE(VLOOKUP(CONCATENATE(VLOOKUP(A109,TEAMS,2,FALSE),TEXT($B109,"00")),PLAYERS,H$1,FALSE),"+")</f>
        <v>2+</v>
      </c>
      <c r="I109" s="48" t="str">
        <f>CONCATENATE(VLOOKUP(CONCATENATE(VLOOKUP(A109,TEAMS,2,FALSE),TEXT($B109,"00")),PLAYERS,I$1,FALSE),IF(VLOOKUP(CONCATENATE(VLOOKUP(A109,TEAMS,2,FALSE),TEXT($B109,"00")),PLAYERS,I$1,FALSE)="-","","+"))</f>
        <v>4+</v>
      </c>
      <c r="J109" s="48" t="str">
        <f>CONCATENATE(VLOOKUP(CONCATENATE(VLOOKUP(A109,TEAMS,2,FALSE),TEXT($B109,"00")),PLAYERS,J$1,FALSE),"+")</f>
        <v>9+</v>
      </c>
      <c r="K109" s="50" t="str">
        <f>VLOOKUP(CONCATENATE(VLOOKUP(A109,TEAMS,2,FALSE),TEXT($B109,"00")),PLAYERS,K$1,FALSE)</f>
        <v>None</v>
      </c>
      <c r="L109" s="49" t="str">
        <f>VLOOKUP(CONCATENATE(VLOOKUP(A109,TEAMS,2,FALSE),TEXT($B109,"00")),PLAYERS,L$1,FALSE)</f>
        <v>AG</v>
      </c>
      <c r="M109" s="49" t="str">
        <f>VLOOKUP(CONCATENATE(VLOOKUP(A109,TEAMS,2,FALSE),TEXT($B109,"00")),PLAYERS,M$1,FALSE)</f>
        <v>PS</v>
      </c>
      <c r="N109" s="48" t="str">
        <f>CONCATENATE(ABS(VLOOKUP(CONCATENATE(VLOOKUP(A109,TEAMS,2,FALSE),TEXT(B109,"00")),PLAYERS,5,FALSE)),"k")</f>
        <v>70k</v>
      </c>
    </row>
    <row r="110" spans="1:14" ht="15" customHeight="1" x14ac:dyDescent="0.25">
      <c r="A110" s="6" t="s">
        <v>87</v>
      </c>
      <c r="B110" s="6">
        <v>2</v>
      </c>
      <c r="D110" s="49" t="str">
        <f>CONCATENATE("0-",VLOOKUP(CONCATENATE(VLOOKUP(A110,TEAMS,2,FALSE),TEXT(B110,"00")),PLAYERS,$D$1,FALSE),IF(VLOOKUP(CONCATENATE(VLOOKUP(A110,TEAMS,2,FALSE),TEXT(B110,"00")),PLAYERS,$D$1+1,FALSE)="BG"," *",""))</f>
        <v>0-2</v>
      </c>
      <c r="E110" s="50" t="str">
        <f>VLOOKUP(CONCATENATE(VLOOKUP(A110,TEAMS,2,FALSE),TEXT($B110,"00")),PLAYERS,E$1,FALSE)</f>
        <v>High Elf Thrower</v>
      </c>
      <c r="F110" s="48">
        <f>VLOOKUP(CONCATENATE(VLOOKUP(A110,TEAMS,2,FALSE),TEXT($B110,"00")),PLAYERS,F$1,FALSE)</f>
        <v>6</v>
      </c>
      <c r="G110" s="48">
        <f>VLOOKUP(CONCATENATE(VLOOKUP(A110,TEAMS,2,FALSE),TEXT($B110,"00")),PLAYERS,G$1,FALSE)</f>
        <v>3</v>
      </c>
      <c r="H110" s="48" t="str">
        <f>CONCATENATE(VLOOKUP(CONCATENATE(VLOOKUP(A110,TEAMS,2,FALSE),TEXT($B110,"00")),PLAYERS,H$1,FALSE),"+")</f>
        <v>2+</v>
      </c>
      <c r="I110" s="48" t="str">
        <f>CONCATENATE(VLOOKUP(CONCATENATE(VLOOKUP(A110,TEAMS,2,FALSE),TEXT($B110,"00")),PLAYERS,I$1,FALSE),IF(VLOOKUP(CONCATENATE(VLOOKUP(A110,TEAMS,2,FALSE),TEXT($B110,"00")),PLAYERS,I$1,FALSE)="-","","+"))</f>
        <v>2+</v>
      </c>
      <c r="J110" s="48" t="str">
        <f>CONCATENATE(VLOOKUP(CONCATENATE(VLOOKUP(A110,TEAMS,2,FALSE),TEXT($B110,"00")),PLAYERS,J$1,FALSE),"+")</f>
        <v>9+</v>
      </c>
      <c r="K110" s="50" t="str">
        <f>VLOOKUP(CONCATENATE(VLOOKUP(A110,TEAMS,2,FALSE),TEXT($B110,"00")),PLAYERS,K$1,FALSE)</f>
        <v>Cloud Burster, Pass, Safe Pass</v>
      </c>
      <c r="L110" s="49" t="str">
        <f>VLOOKUP(CONCATENATE(VLOOKUP(A110,TEAMS,2,FALSE),TEXT($B110,"00")),PLAYERS,L$1,FALSE)</f>
        <v>AGP</v>
      </c>
      <c r="M110" s="49" t="str">
        <f>VLOOKUP(CONCATENATE(VLOOKUP(A110,TEAMS,2,FALSE),TEXT($B110,"00")),PLAYERS,M$1,FALSE)</f>
        <v>S</v>
      </c>
      <c r="N110" s="48" t="str">
        <f>CONCATENATE(ABS(VLOOKUP(CONCATENATE(VLOOKUP(A110,TEAMS,2,FALSE),TEXT(B110,"00")),PLAYERS,5,FALSE)),"k")</f>
        <v>100k</v>
      </c>
    </row>
    <row r="111" spans="1:14" ht="15" customHeight="1" x14ac:dyDescent="0.25">
      <c r="A111" s="6" t="s">
        <v>87</v>
      </c>
      <c r="B111" s="6">
        <v>3</v>
      </c>
      <c r="D111" s="49" t="str">
        <f>CONCATENATE("0-",VLOOKUP(CONCATENATE(VLOOKUP(A111,TEAMS,2,FALSE),TEXT(B111,"00")),PLAYERS,$D$1,FALSE),IF(VLOOKUP(CONCATENATE(VLOOKUP(A111,TEAMS,2,FALSE),TEXT(B111,"00")),PLAYERS,$D$1+1,FALSE)="BG"," *",""))</f>
        <v>0-4</v>
      </c>
      <c r="E111" s="50" t="str">
        <f>VLOOKUP(CONCATENATE(VLOOKUP(A111,TEAMS,2,FALSE),TEXT($B111,"00")),PLAYERS,E$1,FALSE)</f>
        <v>High Elf Catcher</v>
      </c>
      <c r="F111" s="48">
        <f>VLOOKUP(CONCATENATE(VLOOKUP(A111,TEAMS,2,FALSE),TEXT($B111,"00")),PLAYERS,F$1,FALSE)</f>
        <v>8</v>
      </c>
      <c r="G111" s="48">
        <f>VLOOKUP(CONCATENATE(VLOOKUP(A111,TEAMS,2,FALSE),TEXT($B111,"00")),PLAYERS,G$1,FALSE)</f>
        <v>3</v>
      </c>
      <c r="H111" s="48" t="str">
        <f>CONCATENATE(VLOOKUP(CONCATENATE(VLOOKUP(A111,TEAMS,2,FALSE),TEXT($B111,"00")),PLAYERS,H$1,FALSE),"+")</f>
        <v>2+</v>
      </c>
      <c r="I111" s="48" t="str">
        <f>CONCATENATE(VLOOKUP(CONCATENATE(VLOOKUP(A111,TEAMS,2,FALSE),TEXT($B111,"00")),PLAYERS,I$1,FALSE),IF(VLOOKUP(CONCATENATE(VLOOKUP(A111,TEAMS,2,FALSE),TEXT($B111,"00")),PLAYERS,I$1,FALSE)="-","","+"))</f>
        <v>5+</v>
      </c>
      <c r="J111" s="48" t="str">
        <f>CONCATENATE(VLOOKUP(CONCATENATE(VLOOKUP(A111,TEAMS,2,FALSE),TEXT($B111,"00")),PLAYERS,J$1,FALSE),"+")</f>
        <v>8+</v>
      </c>
      <c r="K111" s="50" t="str">
        <f>VLOOKUP(CONCATENATE(VLOOKUP(A111,TEAMS,2,FALSE),TEXT($B111,"00")),PLAYERS,K$1,FALSE)</f>
        <v>Catch</v>
      </c>
      <c r="L111" s="49" t="str">
        <f>VLOOKUP(CONCATENATE(VLOOKUP(A111,TEAMS,2,FALSE),TEXT($B111,"00")),PLAYERS,L$1,FALSE)</f>
        <v>AG</v>
      </c>
      <c r="M111" s="49" t="str">
        <f>VLOOKUP(CONCATENATE(VLOOKUP(A111,TEAMS,2,FALSE),TEXT($B111,"00")),PLAYERS,M$1,FALSE)</f>
        <v>S</v>
      </c>
      <c r="N111" s="48" t="str">
        <f>CONCATENATE(ABS(VLOOKUP(CONCATENATE(VLOOKUP(A111,TEAMS,2,FALSE),TEXT(B111,"00")),PLAYERS,5,FALSE)),"k")</f>
        <v>90k</v>
      </c>
    </row>
    <row r="112" spans="1:14" ht="15" customHeight="1" x14ac:dyDescent="0.25">
      <c r="A112" s="6" t="s">
        <v>87</v>
      </c>
      <c r="B112" s="6">
        <v>4</v>
      </c>
      <c r="D112" s="49" t="str">
        <f>CONCATENATE("0-",VLOOKUP(CONCATENATE(VLOOKUP(A112,TEAMS,2,FALSE),TEXT(B112,"00")),PLAYERS,$D$1,FALSE),IF(VLOOKUP(CONCATENATE(VLOOKUP(A112,TEAMS,2,FALSE),TEXT(B112,"00")),PLAYERS,$D$1+1,FALSE)="BG"," *",""))</f>
        <v>0-2</v>
      </c>
      <c r="E112" s="50" t="str">
        <f>VLOOKUP(CONCATENATE(VLOOKUP(A112,TEAMS,2,FALSE),TEXT($B112,"00")),PLAYERS,E$1,FALSE)</f>
        <v>High Elf Blitzer</v>
      </c>
      <c r="F112" s="48">
        <f>VLOOKUP(CONCATENATE(VLOOKUP(A112,TEAMS,2,FALSE),TEXT($B112,"00")),PLAYERS,F$1,FALSE)</f>
        <v>7</v>
      </c>
      <c r="G112" s="48">
        <f>VLOOKUP(CONCATENATE(VLOOKUP(A112,TEAMS,2,FALSE),TEXT($B112,"00")),PLAYERS,G$1,FALSE)</f>
        <v>3</v>
      </c>
      <c r="H112" s="48" t="str">
        <f>CONCATENATE(VLOOKUP(CONCATENATE(VLOOKUP(A112,TEAMS,2,FALSE),TEXT($B112,"00")),PLAYERS,H$1,FALSE),"+")</f>
        <v>2+</v>
      </c>
      <c r="I112" s="48" t="str">
        <f>CONCATENATE(VLOOKUP(CONCATENATE(VLOOKUP(A112,TEAMS,2,FALSE),TEXT($B112,"00")),PLAYERS,I$1,FALSE),IF(VLOOKUP(CONCATENATE(VLOOKUP(A112,TEAMS,2,FALSE),TEXT($B112,"00")),PLAYERS,I$1,FALSE)="-","","+"))</f>
        <v>4+</v>
      </c>
      <c r="J112" s="48" t="str">
        <f>CONCATENATE(VLOOKUP(CONCATENATE(VLOOKUP(A112,TEAMS,2,FALSE),TEXT($B112,"00")),PLAYERS,J$1,FALSE),"+")</f>
        <v>9+</v>
      </c>
      <c r="K112" s="50" t="str">
        <f>VLOOKUP(CONCATENATE(VLOOKUP(A112,TEAMS,2,FALSE),TEXT($B112,"00")),PLAYERS,K$1,FALSE)</f>
        <v>Block</v>
      </c>
      <c r="L112" s="49" t="str">
        <f>VLOOKUP(CONCATENATE(VLOOKUP(A112,TEAMS,2,FALSE),TEXT($B112,"00")),PLAYERS,L$1,FALSE)</f>
        <v>AG</v>
      </c>
      <c r="M112" s="49" t="str">
        <f>VLOOKUP(CONCATENATE(VLOOKUP(A112,TEAMS,2,FALSE),TEXT($B112,"00")),PLAYERS,M$1,FALSE)</f>
        <v>PS</v>
      </c>
      <c r="N112" s="48" t="str">
        <f>CONCATENATE(ABS(VLOOKUP(CONCATENATE(VLOOKUP(A112,TEAMS,2,FALSE),TEXT(B112,"00")),PLAYERS,5,FALSE)),"k")</f>
        <v>100k</v>
      </c>
    </row>
    <row r="113" spans="1:14" ht="15" customHeight="1" x14ac:dyDescent="0.25">
      <c r="D113" s="17" t="s">
        <v>580</v>
      </c>
      <c r="E113" s="17" t="str">
        <f>CONCATENATE(VLOOKUP(A107,TEAMS,5,FALSE),"k")</f>
        <v>50k</v>
      </c>
      <c r="F113" s="364" t="s">
        <v>584</v>
      </c>
      <c r="G113" s="369"/>
      <c r="H113" s="369"/>
      <c r="I113" s="365"/>
      <c r="J113" s="48" t="str">
        <f>VLOOKUP(A107,TEAMS,6,FALSE)</f>
        <v>Yes</v>
      </c>
      <c r="K113" s="366" t="s">
        <v>585</v>
      </c>
      <c r="L113" s="367"/>
      <c r="M113" s="368"/>
      <c r="N113" s="51">
        <f>VLOOKUP(A107,TEAMS,8,FALSE)</f>
        <v>3</v>
      </c>
    </row>
    <row r="114" spans="1:14" ht="15" customHeight="1" x14ac:dyDescent="0.25">
      <c r="D114" s="364" t="s">
        <v>586</v>
      </c>
      <c r="E114" s="365"/>
      <c r="F114" s="360" t="str">
        <f>IFERROR(VLOOKUP(LEFT(VLOOKUP(A108,TEAMS,7,FALSE),3),SpecialRules,3,FALSE) &amp; VLOOKUP(MID(VLOOKUP(A108,TEAMS,7,FALSE),4,3),SpecialRules,3,FALSE),"")</f>
        <v/>
      </c>
      <c r="G114" s="360"/>
      <c r="H114" s="360"/>
      <c r="I114" s="360"/>
      <c r="J114" s="360"/>
      <c r="K114" s="360"/>
      <c r="L114" s="360"/>
      <c r="M114" s="360"/>
      <c r="N114" s="360"/>
    </row>
    <row r="115" spans="1:14" ht="15" customHeight="1" x14ac:dyDescent="0.25">
      <c r="D115" s="141"/>
      <c r="E115" s="141"/>
      <c r="F115" s="142"/>
      <c r="G115" s="142"/>
      <c r="H115" s="142"/>
      <c r="I115" s="142"/>
      <c r="J115" s="142"/>
      <c r="K115" s="142"/>
      <c r="L115" s="142"/>
      <c r="M115" s="142"/>
      <c r="N115" s="142"/>
    </row>
    <row r="116" spans="1:14" ht="21" x14ac:dyDescent="0.35">
      <c r="A116" s="6" t="s">
        <v>88</v>
      </c>
      <c r="B116" s="6">
        <v>6</v>
      </c>
      <c r="D116" s="354" t="str">
        <f>A116</f>
        <v>Human</v>
      </c>
      <c r="E116" s="355"/>
      <c r="F116" s="355"/>
      <c r="G116" s="355"/>
      <c r="H116" s="355"/>
      <c r="I116" s="355"/>
      <c r="J116" s="355"/>
      <c r="K116" s="355"/>
      <c r="L116" s="355"/>
      <c r="M116" s="355"/>
      <c r="N116" s="356"/>
    </row>
    <row r="117" spans="1:14" x14ac:dyDescent="0.25">
      <c r="A117" s="6" t="s">
        <v>88</v>
      </c>
      <c r="D117" s="17" t="s">
        <v>765</v>
      </c>
      <c r="E117" s="17" t="s">
        <v>3</v>
      </c>
      <c r="F117" s="48" t="s">
        <v>4</v>
      </c>
      <c r="G117" s="48" t="s">
        <v>5</v>
      </c>
      <c r="H117" s="48" t="s">
        <v>6</v>
      </c>
      <c r="I117" s="48" t="s">
        <v>7</v>
      </c>
      <c r="J117" s="48" t="s">
        <v>8</v>
      </c>
      <c r="K117" s="17" t="s">
        <v>566</v>
      </c>
      <c r="L117" s="17" t="s">
        <v>578</v>
      </c>
      <c r="M117" s="17" t="s">
        <v>579</v>
      </c>
      <c r="N117" s="51" t="s">
        <v>715</v>
      </c>
    </row>
    <row r="118" spans="1:14" x14ac:dyDescent="0.25">
      <c r="A118" s="6" t="s">
        <v>88</v>
      </c>
      <c r="B118" s="6">
        <v>1</v>
      </c>
      <c r="D118" s="49" t="str">
        <f t="shared" ref="D118:D123" si="22">CONCATENATE("0-",VLOOKUP(CONCATENATE(VLOOKUP(A118,TEAMS,2,FALSE),TEXT(B118,"00")),PLAYERS,$D$1,FALSE),IF(VLOOKUP(CONCATENATE(VLOOKUP(A118,TEAMS,2,FALSE),TEXT(B118,"00")),PLAYERS,$D$1+1,FALSE)="BG"," *",""))</f>
        <v>0-16</v>
      </c>
      <c r="E118" s="50" t="str">
        <f t="shared" ref="E118:E123" si="23">VLOOKUP(CONCATENATE(VLOOKUP(A118,TEAMS,2,FALSE),TEXT($B118,"00")),PLAYERS,E$1,FALSE)</f>
        <v>Human Lineman</v>
      </c>
      <c r="F118" s="48">
        <f t="shared" ref="F118:F123" si="24">VLOOKUP(CONCATENATE(VLOOKUP(A118,TEAMS,2,FALSE),TEXT($B118,"00")),PLAYERS,F$1,FALSE)</f>
        <v>6</v>
      </c>
      <c r="G118" s="48">
        <f t="shared" ref="G118:G123" si="25">VLOOKUP(CONCATENATE(VLOOKUP(A118,TEAMS,2,FALSE),TEXT($B118,"00")),PLAYERS,G$1,FALSE)</f>
        <v>3</v>
      </c>
      <c r="H118" s="48" t="str">
        <f t="shared" ref="H118:H123" si="26">CONCATENATE(VLOOKUP(CONCATENATE(VLOOKUP(A118,TEAMS,2,FALSE),TEXT($B118,"00")),PLAYERS,H$1,FALSE),"+")</f>
        <v>3+</v>
      </c>
      <c r="I118" s="48" t="str">
        <f t="shared" ref="I118:I123" si="27">CONCATENATE(VLOOKUP(CONCATENATE(VLOOKUP(A118,TEAMS,2,FALSE),TEXT($B118,"00")),PLAYERS,I$1,FALSE),IF(VLOOKUP(CONCATENATE(VLOOKUP(A118,TEAMS,2,FALSE),TEXT($B118,"00")),PLAYERS,I$1,FALSE)="-","","+"))</f>
        <v>4+</v>
      </c>
      <c r="J118" s="48" t="str">
        <f t="shared" ref="J118:J123" si="28">CONCATENATE(VLOOKUP(CONCATENATE(VLOOKUP(A118,TEAMS,2,FALSE),TEXT($B118,"00")),PLAYERS,J$1,FALSE),"+")</f>
        <v>9+</v>
      </c>
      <c r="K118" s="50" t="str">
        <f t="shared" ref="K118:K123" si="29">VLOOKUP(CONCATENATE(VLOOKUP(A118,TEAMS,2,FALSE),TEXT($B118,"00")),PLAYERS,K$1,FALSE)</f>
        <v>None</v>
      </c>
      <c r="L118" s="49" t="str">
        <f t="shared" ref="L118:L123" si="30">VLOOKUP(CONCATENATE(VLOOKUP(A118,TEAMS,2,FALSE),TEXT($B118,"00")),PLAYERS,L$1,FALSE)</f>
        <v>G</v>
      </c>
      <c r="M118" s="49" t="str">
        <f t="shared" ref="M118:M123" si="31">VLOOKUP(CONCATENATE(VLOOKUP(A118,TEAMS,2,FALSE),TEXT($B118,"00")),PLAYERS,M$1,FALSE)</f>
        <v>AS</v>
      </c>
      <c r="N118" s="48" t="str">
        <f t="shared" ref="N118:N123" si="32">CONCATENATE(ABS(VLOOKUP(CONCATENATE(VLOOKUP(A118,TEAMS,2,FALSE),TEXT(B118,"00")),PLAYERS,5,FALSE)),"k")</f>
        <v>50k</v>
      </c>
    </row>
    <row r="119" spans="1:14" x14ac:dyDescent="0.25">
      <c r="A119" s="6" t="s">
        <v>88</v>
      </c>
      <c r="B119" s="6">
        <v>2</v>
      </c>
      <c r="D119" s="49" t="str">
        <f t="shared" si="22"/>
        <v>0-2</v>
      </c>
      <c r="E119" s="50" t="str">
        <f t="shared" si="23"/>
        <v>Human Thrower</v>
      </c>
      <c r="F119" s="48">
        <f t="shared" si="24"/>
        <v>6</v>
      </c>
      <c r="G119" s="48">
        <f t="shared" si="25"/>
        <v>3</v>
      </c>
      <c r="H119" s="48" t="str">
        <f t="shared" si="26"/>
        <v>3+</v>
      </c>
      <c r="I119" s="48" t="str">
        <f t="shared" si="27"/>
        <v>2+</v>
      </c>
      <c r="J119" s="48" t="str">
        <f t="shared" si="28"/>
        <v>9+</v>
      </c>
      <c r="K119" s="50" t="str">
        <f t="shared" si="29"/>
        <v>Pass, Sure Hands</v>
      </c>
      <c r="L119" s="49" t="str">
        <f t="shared" si="30"/>
        <v>GP</v>
      </c>
      <c r="M119" s="49" t="str">
        <f t="shared" si="31"/>
        <v>AS</v>
      </c>
      <c r="N119" s="48" t="str">
        <f t="shared" si="32"/>
        <v>80k</v>
      </c>
    </row>
    <row r="120" spans="1:14" x14ac:dyDescent="0.25">
      <c r="A120" s="6" t="s">
        <v>88</v>
      </c>
      <c r="B120" s="6">
        <v>3</v>
      </c>
      <c r="D120" s="49" t="str">
        <f t="shared" si="22"/>
        <v>0-4</v>
      </c>
      <c r="E120" s="50" t="str">
        <f t="shared" si="23"/>
        <v>Human Catcher</v>
      </c>
      <c r="F120" s="48">
        <f t="shared" si="24"/>
        <v>8</v>
      </c>
      <c r="G120" s="48">
        <f t="shared" si="25"/>
        <v>2</v>
      </c>
      <c r="H120" s="48" t="str">
        <f t="shared" si="26"/>
        <v>3+</v>
      </c>
      <c r="I120" s="48" t="str">
        <f t="shared" si="27"/>
        <v>5+</v>
      </c>
      <c r="J120" s="48" t="str">
        <f t="shared" si="28"/>
        <v>8+</v>
      </c>
      <c r="K120" s="50" t="str">
        <f t="shared" si="29"/>
        <v>Catch, Dodge</v>
      </c>
      <c r="L120" s="49" t="str">
        <f t="shared" si="30"/>
        <v>AG</v>
      </c>
      <c r="M120" s="49" t="str">
        <f t="shared" si="31"/>
        <v>SP</v>
      </c>
      <c r="N120" s="48" t="str">
        <f t="shared" si="32"/>
        <v>65k</v>
      </c>
    </row>
    <row r="121" spans="1:14" x14ac:dyDescent="0.25">
      <c r="A121" s="6" t="s">
        <v>88</v>
      </c>
      <c r="B121" s="6">
        <v>4</v>
      </c>
      <c r="D121" s="49" t="str">
        <f t="shared" si="22"/>
        <v>0-4</v>
      </c>
      <c r="E121" s="50" t="str">
        <f t="shared" si="23"/>
        <v>Human Blitzer</v>
      </c>
      <c r="F121" s="48">
        <f t="shared" si="24"/>
        <v>7</v>
      </c>
      <c r="G121" s="48">
        <f t="shared" si="25"/>
        <v>3</v>
      </c>
      <c r="H121" s="48" t="str">
        <f t="shared" si="26"/>
        <v>3+</v>
      </c>
      <c r="I121" s="48" t="str">
        <f t="shared" si="27"/>
        <v>4+</v>
      </c>
      <c r="J121" s="48" t="str">
        <f t="shared" si="28"/>
        <v>9+</v>
      </c>
      <c r="K121" s="50" t="str">
        <f t="shared" si="29"/>
        <v>Block</v>
      </c>
      <c r="L121" s="49" t="str">
        <f t="shared" si="30"/>
        <v>GS</v>
      </c>
      <c r="M121" s="49" t="str">
        <f t="shared" si="31"/>
        <v>SP</v>
      </c>
      <c r="N121" s="48" t="str">
        <f t="shared" si="32"/>
        <v>85k</v>
      </c>
    </row>
    <row r="122" spans="1:14" x14ac:dyDescent="0.25">
      <c r="A122" s="6" t="s">
        <v>88</v>
      </c>
      <c r="B122" s="6">
        <v>5</v>
      </c>
      <c r="D122" s="49" t="str">
        <f t="shared" si="22"/>
        <v>0-3</v>
      </c>
      <c r="E122" s="50" t="str">
        <f t="shared" si="23"/>
        <v>Halfling Hopeful</v>
      </c>
      <c r="F122" s="48">
        <f t="shared" si="24"/>
        <v>5</v>
      </c>
      <c r="G122" s="48">
        <f t="shared" si="25"/>
        <v>2</v>
      </c>
      <c r="H122" s="48" t="str">
        <f t="shared" si="26"/>
        <v>3+</v>
      </c>
      <c r="I122" s="48" t="str">
        <f t="shared" si="27"/>
        <v>4+</v>
      </c>
      <c r="J122" s="48" t="str">
        <f t="shared" si="28"/>
        <v>7+</v>
      </c>
      <c r="K122" s="50" t="str">
        <f t="shared" si="29"/>
        <v>Dodge, Right Stuff*, Stunty*</v>
      </c>
      <c r="L122" s="49" t="str">
        <f t="shared" si="30"/>
        <v>A</v>
      </c>
      <c r="M122" s="49" t="str">
        <f t="shared" si="31"/>
        <v>GS</v>
      </c>
      <c r="N122" s="48" t="str">
        <f t="shared" si="32"/>
        <v>30k</v>
      </c>
    </row>
    <row r="123" spans="1:14" ht="30" x14ac:dyDescent="0.25">
      <c r="A123" s="6" t="s">
        <v>88</v>
      </c>
      <c r="B123" s="6">
        <v>6</v>
      </c>
      <c r="D123" s="49" t="str">
        <f t="shared" si="22"/>
        <v>0-1</v>
      </c>
      <c r="E123" s="50" t="str">
        <f t="shared" si="23"/>
        <v>Ogre</v>
      </c>
      <c r="F123" s="48">
        <f t="shared" si="24"/>
        <v>5</v>
      </c>
      <c r="G123" s="48">
        <f t="shared" si="25"/>
        <v>5</v>
      </c>
      <c r="H123" s="48" t="str">
        <f t="shared" si="26"/>
        <v>4+</v>
      </c>
      <c r="I123" s="48" t="str">
        <f t="shared" si="27"/>
        <v>5+</v>
      </c>
      <c r="J123" s="48" t="str">
        <f t="shared" si="28"/>
        <v>10+</v>
      </c>
      <c r="K123" s="50" t="str">
        <f t="shared" si="29"/>
        <v>Bone Head*, Loner (4+)*, Mighty Blow (+1), Thick Skull, Throw Team-mate</v>
      </c>
      <c r="L123" s="49" t="str">
        <f t="shared" si="30"/>
        <v>S</v>
      </c>
      <c r="M123" s="49" t="str">
        <f t="shared" si="31"/>
        <v>AG</v>
      </c>
      <c r="N123" s="48" t="str">
        <f t="shared" si="32"/>
        <v>140k</v>
      </c>
    </row>
    <row r="124" spans="1:14" x14ac:dyDescent="0.25">
      <c r="D124" s="17" t="s">
        <v>580</v>
      </c>
      <c r="E124" s="17" t="str">
        <f>CONCATENATE(VLOOKUP(A116,TEAMS,5,FALSE),"k")</f>
        <v>50k</v>
      </c>
      <c r="F124" s="364" t="s">
        <v>584</v>
      </c>
      <c r="G124" s="369"/>
      <c r="H124" s="369"/>
      <c r="I124" s="365"/>
      <c r="J124" s="48" t="str">
        <f>VLOOKUP(A116,TEAMS,6,FALSE)</f>
        <v>Yes</v>
      </c>
      <c r="K124" s="366" t="s">
        <v>585</v>
      </c>
      <c r="L124" s="367"/>
      <c r="M124" s="368"/>
      <c r="N124" s="51">
        <f>VLOOKUP(A116,TEAMS,8,FALSE)</f>
        <v>3</v>
      </c>
    </row>
    <row r="125" spans="1:14" ht="15" customHeight="1" x14ac:dyDescent="0.25">
      <c r="D125" s="364" t="s">
        <v>586</v>
      </c>
      <c r="E125" s="365"/>
      <c r="F125" s="360" t="str">
        <f>IFERROR(VLOOKUP(LEFT(VLOOKUP(A119,TEAMS,7,FALSE),3),SpecialRules,3,FALSE) &amp; VLOOKUP(MID(VLOOKUP(A119,TEAMS,7,FALSE),4,3),SpecialRules,3,FALSE),"")</f>
        <v/>
      </c>
      <c r="G125" s="360"/>
      <c r="H125" s="360"/>
      <c r="I125" s="360"/>
      <c r="J125" s="360"/>
      <c r="K125" s="360"/>
      <c r="L125" s="360"/>
      <c r="M125" s="360"/>
      <c r="N125" s="360"/>
    </row>
    <row r="126" spans="1:14" x14ac:dyDescent="0.25">
      <c r="D126" s="362"/>
      <c r="E126" s="362"/>
      <c r="F126" s="362"/>
      <c r="G126" s="362"/>
      <c r="H126" s="362"/>
      <c r="I126" s="362"/>
      <c r="J126" s="362"/>
      <c r="K126" s="362"/>
      <c r="L126" s="362"/>
      <c r="M126" s="362"/>
      <c r="N126" s="362"/>
    </row>
    <row r="127" spans="1:14" ht="21" x14ac:dyDescent="0.35">
      <c r="A127" s="6" t="s">
        <v>89</v>
      </c>
      <c r="B127" s="6">
        <v>5</v>
      </c>
      <c r="D127" s="354" t="str">
        <f>A127</f>
        <v>Imperial Nobility</v>
      </c>
      <c r="E127" s="355"/>
      <c r="F127" s="355"/>
      <c r="G127" s="355"/>
      <c r="H127" s="355"/>
      <c r="I127" s="355"/>
      <c r="J127" s="355"/>
      <c r="K127" s="355"/>
      <c r="L127" s="355"/>
      <c r="M127" s="355"/>
      <c r="N127" s="356"/>
    </row>
    <row r="128" spans="1:14" x14ac:dyDescent="0.25">
      <c r="A128" s="6" t="s">
        <v>89</v>
      </c>
      <c r="D128" s="17" t="s">
        <v>765</v>
      </c>
      <c r="E128" s="17" t="s">
        <v>3</v>
      </c>
      <c r="F128" s="48" t="s">
        <v>4</v>
      </c>
      <c r="G128" s="48" t="s">
        <v>5</v>
      </c>
      <c r="H128" s="48" t="s">
        <v>6</v>
      </c>
      <c r="I128" s="48" t="s">
        <v>7</v>
      </c>
      <c r="J128" s="48" t="s">
        <v>8</v>
      </c>
      <c r="K128" s="17" t="s">
        <v>566</v>
      </c>
      <c r="L128" s="17" t="s">
        <v>578</v>
      </c>
      <c r="M128" s="17" t="s">
        <v>579</v>
      </c>
      <c r="N128" s="51" t="s">
        <v>715</v>
      </c>
    </row>
    <row r="129" spans="1:14" ht="30" x14ac:dyDescent="0.25">
      <c r="A129" s="6" t="s">
        <v>89</v>
      </c>
      <c r="B129" s="6">
        <v>1</v>
      </c>
      <c r="D129" s="49" t="str">
        <f>CONCATENATE("0-",VLOOKUP(CONCATENATE(VLOOKUP(A129,TEAMS,2,FALSE),TEXT(B129,"00")),PLAYERS,$D$1,FALSE),IF(VLOOKUP(CONCATENATE(VLOOKUP(A129,TEAMS,2,FALSE),TEXT(B129,"00")),PLAYERS,$D$1+1,FALSE)="BG"," *",""))</f>
        <v>0-12</v>
      </c>
      <c r="E129" s="50" t="str">
        <f>VLOOKUP(CONCATENATE(VLOOKUP(A129,TEAMS,2,FALSE),TEXT($B129,"00")),PLAYERS,E$1,FALSE)</f>
        <v>Imperial Retainer Lineman</v>
      </c>
      <c r="F129" s="48">
        <f>VLOOKUP(CONCATENATE(VLOOKUP(A129,TEAMS,2,FALSE),TEXT($B129,"00")),PLAYERS,F$1,FALSE)</f>
        <v>6</v>
      </c>
      <c r="G129" s="48">
        <f>VLOOKUP(CONCATENATE(VLOOKUP(A129,TEAMS,2,FALSE),TEXT($B129,"00")),PLAYERS,G$1,FALSE)</f>
        <v>3</v>
      </c>
      <c r="H129" s="48" t="str">
        <f>CONCATENATE(VLOOKUP(CONCATENATE(VLOOKUP(A129,TEAMS,2,FALSE),TEXT($B129,"00")),PLAYERS,H$1,FALSE),"+")</f>
        <v>4+</v>
      </c>
      <c r="I129" s="48" t="str">
        <f>CONCATENATE(VLOOKUP(CONCATENATE(VLOOKUP(A129,TEAMS,2,FALSE),TEXT($B129,"00")),PLAYERS,I$1,FALSE),IF(VLOOKUP(CONCATENATE(VLOOKUP(A129,TEAMS,2,FALSE),TEXT($B129,"00")),PLAYERS,I$1,FALSE)="-","","+"))</f>
        <v>4+</v>
      </c>
      <c r="J129" s="48" t="str">
        <f>CONCATENATE(VLOOKUP(CONCATENATE(VLOOKUP(A129,TEAMS,2,FALSE),TEXT($B129,"00")),PLAYERS,J$1,FALSE),"+")</f>
        <v>8+</v>
      </c>
      <c r="K129" s="50" t="str">
        <f>VLOOKUP(CONCATENATE(VLOOKUP(A129,TEAMS,2,FALSE),TEXT($B129,"00")),PLAYERS,K$1,FALSE)</f>
        <v>Fend</v>
      </c>
      <c r="L129" s="49" t="str">
        <f>VLOOKUP(CONCATENATE(VLOOKUP(A129,TEAMS,2,FALSE),TEXT($B129,"00")),PLAYERS,L$1,FALSE)</f>
        <v>G</v>
      </c>
      <c r="M129" s="49" t="str">
        <f>VLOOKUP(CONCATENATE(VLOOKUP(A129,TEAMS,2,FALSE),TEXT($B129,"00")),PLAYERS,M$1,FALSE)</f>
        <v>AS</v>
      </c>
      <c r="N129" s="48" t="str">
        <f>CONCATENATE(ABS(VLOOKUP(CONCATENATE(VLOOKUP(A129,TEAMS,2,FALSE),TEXT(B129,"00")),PLAYERS,5,FALSE)),"k")</f>
        <v>45k</v>
      </c>
    </row>
    <row r="130" spans="1:14" x14ac:dyDescent="0.25">
      <c r="A130" s="6" t="s">
        <v>89</v>
      </c>
      <c r="B130" s="6">
        <v>2</v>
      </c>
      <c r="D130" s="49" t="str">
        <f>CONCATENATE("0-",VLOOKUP(CONCATENATE(VLOOKUP(A130,TEAMS,2,FALSE),TEXT(B130,"00")),PLAYERS,$D$1,FALSE),IF(VLOOKUP(CONCATENATE(VLOOKUP(A130,TEAMS,2,FALSE),TEXT(B130,"00")),PLAYERS,$D$1+1,FALSE)="BG"," *",""))</f>
        <v>0-2</v>
      </c>
      <c r="E130" s="50" t="str">
        <f>VLOOKUP(CONCATENATE(VLOOKUP(A130,TEAMS,2,FALSE),TEXT($B130,"00")),PLAYERS,E$1,FALSE)</f>
        <v>Imperial Thrower</v>
      </c>
      <c r="F130" s="48">
        <f>VLOOKUP(CONCATENATE(VLOOKUP(A130,TEAMS,2,FALSE),TEXT($B130,"00")),PLAYERS,F$1,FALSE)</f>
        <v>6</v>
      </c>
      <c r="G130" s="48">
        <f>VLOOKUP(CONCATENATE(VLOOKUP(A130,TEAMS,2,FALSE),TEXT($B130,"00")),PLAYERS,G$1,FALSE)</f>
        <v>3</v>
      </c>
      <c r="H130" s="48" t="str">
        <f>CONCATENATE(VLOOKUP(CONCATENATE(VLOOKUP(A130,TEAMS,2,FALSE),TEXT($B130,"00")),PLAYERS,H$1,FALSE),"+")</f>
        <v>3+</v>
      </c>
      <c r="I130" s="48" t="str">
        <f>CONCATENATE(VLOOKUP(CONCATENATE(VLOOKUP(A130,TEAMS,2,FALSE),TEXT($B130,"00")),PLAYERS,I$1,FALSE),IF(VLOOKUP(CONCATENATE(VLOOKUP(A130,TEAMS,2,FALSE),TEXT($B130,"00")),PLAYERS,I$1,FALSE)="-","","+"))</f>
        <v>3+</v>
      </c>
      <c r="J130" s="48" t="str">
        <f>CONCATENATE(VLOOKUP(CONCATENATE(VLOOKUP(A130,TEAMS,2,FALSE),TEXT($B130,"00")),PLAYERS,J$1,FALSE),"+")</f>
        <v>9+</v>
      </c>
      <c r="K130" s="50" t="str">
        <f>VLOOKUP(CONCATENATE(VLOOKUP(A130,TEAMS,2,FALSE),TEXT($B130,"00")),PLAYERS,K$1,FALSE)</f>
        <v>Pass, Runing Pass</v>
      </c>
      <c r="L130" s="49" t="str">
        <f>VLOOKUP(CONCATENATE(VLOOKUP(A130,TEAMS,2,FALSE),TEXT($B130,"00")),PLAYERS,L$1,FALSE)</f>
        <v>GP</v>
      </c>
      <c r="M130" s="49" t="str">
        <f>VLOOKUP(CONCATENATE(VLOOKUP(A130,TEAMS,2,FALSE),TEXT($B130,"00")),PLAYERS,M$1,FALSE)</f>
        <v>AS</v>
      </c>
      <c r="N130" s="48" t="str">
        <f>CONCATENATE(ABS(VLOOKUP(CONCATENATE(VLOOKUP(A130,TEAMS,2,FALSE),TEXT(B130,"00")),PLAYERS,5,FALSE)),"k")</f>
        <v>75k</v>
      </c>
    </row>
    <row r="131" spans="1:14" x14ac:dyDescent="0.25">
      <c r="A131" s="6" t="s">
        <v>89</v>
      </c>
      <c r="B131" s="6">
        <v>3</v>
      </c>
      <c r="D131" s="49" t="str">
        <f>CONCATENATE("0-",VLOOKUP(CONCATENATE(VLOOKUP(A131,TEAMS,2,FALSE),TEXT(B131,"00")),PLAYERS,$D$1,FALSE),IF(VLOOKUP(CONCATENATE(VLOOKUP(A131,TEAMS,2,FALSE),TEXT(B131,"00")),PLAYERS,$D$1+1,FALSE)="BG"," *",""))</f>
        <v>0-2</v>
      </c>
      <c r="E131" s="50" t="str">
        <f>VLOOKUP(CONCATENATE(VLOOKUP(A131,TEAMS,2,FALSE),TEXT($B131,"00")),PLAYERS,E$1,FALSE)</f>
        <v>Noble Blitzer</v>
      </c>
      <c r="F131" s="48">
        <f>VLOOKUP(CONCATENATE(VLOOKUP(A131,TEAMS,2,FALSE),TEXT($B131,"00")),PLAYERS,F$1,FALSE)</f>
        <v>7</v>
      </c>
      <c r="G131" s="48">
        <f>VLOOKUP(CONCATENATE(VLOOKUP(A131,TEAMS,2,FALSE),TEXT($B131,"00")),PLAYERS,G$1,FALSE)</f>
        <v>3</v>
      </c>
      <c r="H131" s="48" t="str">
        <f>CONCATENATE(VLOOKUP(CONCATENATE(VLOOKUP(A131,TEAMS,2,FALSE),TEXT($B131,"00")),PLAYERS,H$1,FALSE),"+")</f>
        <v>3+</v>
      </c>
      <c r="I131" s="48" t="str">
        <f>CONCATENATE(VLOOKUP(CONCATENATE(VLOOKUP(A131,TEAMS,2,FALSE),TEXT($B131,"00")),PLAYERS,I$1,FALSE),IF(VLOOKUP(CONCATENATE(VLOOKUP(A131,TEAMS,2,FALSE),TEXT($B131,"00")),PLAYERS,I$1,FALSE)="-","","+"))</f>
        <v>4+</v>
      </c>
      <c r="J131" s="48" t="str">
        <f>CONCATENATE(VLOOKUP(CONCATENATE(VLOOKUP(A131,TEAMS,2,FALSE),TEXT($B131,"00")),PLAYERS,J$1,FALSE),"+")</f>
        <v>9+</v>
      </c>
      <c r="K131" s="50" t="str">
        <f>VLOOKUP(CONCATENATE(VLOOKUP(A131,TEAMS,2,FALSE),TEXT($B131,"00")),PLAYERS,K$1,FALSE)</f>
        <v>Block, Catch</v>
      </c>
      <c r="L131" s="49" t="str">
        <f>VLOOKUP(CONCATENATE(VLOOKUP(A131,TEAMS,2,FALSE),TEXT($B131,"00")),PLAYERS,L$1,FALSE)</f>
        <v>AG</v>
      </c>
      <c r="M131" s="49" t="str">
        <f>VLOOKUP(CONCATENATE(VLOOKUP(A131,TEAMS,2,FALSE),TEXT($B131,"00")),PLAYERS,M$1,FALSE)</f>
        <v>PS</v>
      </c>
      <c r="N131" s="48" t="str">
        <f>CONCATENATE(ABS(VLOOKUP(CONCATENATE(VLOOKUP(A131,TEAMS,2,FALSE),TEXT(B131,"00")),PLAYERS,5,FALSE)),"k")</f>
        <v>105k</v>
      </c>
    </row>
    <row r="132" spans="1:14" x14ac:dyDescent="0.25">
      <c r="A132" s="6" t="s">
        <v>89</v>
      </c>
      <c r="B132" s="6">
        <v>4</v>
      </c>
      <c r="D132" s="49" t="str">
        <f>CONCATENATE("0-",VLOOKUP(CONCATENATE(VLOOKUP(A132,TEAMS,2,FALSE),TEXT(B132,"00")),PLAYERS,$D$1,FALSE),IF(VLOOKUP(CONCATENATE(VLOOKUP(A132,TEAMS,2,FALSE),TEXT(B132,"00")),PLAYERS,$D$1+1,FALSE)="BG"," *",""))</f>
        <v>0-4</v>
      </c>
      <c r="E132" s="50" t="str">
        <f>VLOOKUP(CONCATENATE(VLOOKUP(A132,TEAMS,2,FALSE),TEXT($B132,"00")),PLAYERS,E$1,FALSE)</f>
        <v>Bodyguard</v>
      </c>
      <c r="F132" s="48">
        <f>VLOOKUP(CONCATENATE(VLOOKUP(A132,TEAMS,2,FALSE),TEXT($B132,"00")),PLAYERS,F$1,FALSE)</f>
        <v>6</v>
      </c>
      <c r="G132" s="48">
        <f>VLOOKUP(CONCATENATE(VLOOKUP(A132,TEAMS,2,FALSE),TEXT($B132,"00")),PLAYERS,G$1,FALSE)</f>
        <v>3</v>
      </c>
      <c r="H132" s="48" t="str">
        <f>CONCATENATE(VLOOKUP(CONCATENATE(VLOOKUP(A132,TEAMS,2,FALSE),TEXT($B132,"00")),PLAYERS,H$1,FALSE),"+")</f>
        <v>3+</v>
      </c>
      <c r="I132" s="48" t="str">
        <f>CONCATENATE(VLOOKUP(CONCATENATE(VLOOKUP(A132,TEAMS,2,FALSE),TEXT($B132,"00")),PLAYERS,I$1,FALSE),IF(VLOOKUP(CONCATENATE(VLOOKUP(A132,TEAMS,2,FALSE),TEXT($B132,"00")),PLAYERS,I$1,FALSE)="-","","+"))</f>
        <v>5+</v>
      </c>
      <c r="J132" s="48" t="str">
        <f>CONCATENATE(VLOOKUP(CONCATENATE(VLOOKUP(A132,TEAMS,2,FALSE),TEXT($B132,"00")),PLAYERS,J$1,FALSE),"+")</f>
        <v>9+</v>
      </c>
      <c r="K132" s="50" t="str">
        <f>VLOOKUP(CONCATENATE(VLOOKUP(A132,TEAMS,2,FALSE),TEXT($B132,"00")),PLAYERS,K$1,FALSE)</f>
        <v>Stand Firm, Wrestle</v>
      </c>
      <c r="L132" s="49" t="str">
        <f>VLOOKUP(CONCATENATE(VLOOKUP(A132,TEAMS,2,FALSE),TEXT($B132,"00")),PLAYERS,L$1,FALSE)</f>
        <v>GS</v>
      </c>
      <c r="M132" s="49" t="str">
        <f>VLOOKUP(CONCATENATE(VLOOKUP(A132,TEAMS,2,FALSE),TEXT($B132,"00")),PLAYERS,M$1,FALSE)</f>
        <v>A</v>
      </c>
      <c r="N132" s="48" t="str">
        <f>CONCATENATE(ABS(VLOOKUP(CONCATENATE(VLOOKUP(A132,TEAMS,2,FALSE),TEXT(B132,"00")),PLAYERS,5,FALSE)),"k")</f>
        <v>90k</v>
      </c>
    </row>
    <row r="133" spans="1:14" ht="30" x14ac:dyDescent="0.25">
      <c r="A133" s="6" t="s">
        <v>89</v>
      </c>
      <c r="B133" s="6">
        <v>5</v>
      </c>
      <c r="D133" s="49" t="str">
        <f>CONCATENATE("0-",VLOOKUP(CONCATENATE(VLOOKUP(A133,TEAMS,2,FALSE),TEXT(B133,"00")),PLAYERS,$D$1,FALSE),IF(VLOOKUP(CONCATENATE(VLOOKUP(A133,TEAMS,2,FALSE),TEXT(B133,"00")),PLAYERS,$D$1+1,FALSE)="BG"," *",""))</f>
        <v>0-1</v>
      </c>
      <c r="E133" s="50" t="str">
        <f>VLOOKUP(CONCATENATE(VLOOKUP(A133,TEAMS,2,FALSE),TEXT($B133,"00")),PLAYERS,E$1,FALSE)</f>
        <v>Ogre</v>
      </c>
      <c r="F133" s="48">
        <f>VLOOKUP(CONCATENATE(VLOOKUP(A133,TEAMS,2,FALSE),TEXT($B133,"00")),PLAYERS,F$1,FALSE)</f>
        <v>5</v>
      </c>
      <c r="G133" s="48">
        <f>VLOOKUP(CONCATENATE(VLOOKUP(A133,TEAMS,2,FALSE),TEXT($B133,"00")),PLAYERS,G$1,FALSE)</f>
        <v>5</v>
      </c>
      <c r="H133" s="48" t="str">
        <f>CONCATENATE(VLOOKUP(CONCATENATE(VLOOKUP(A133,TEAMS,2,FALSE),TEXT($B133,"00")),PLAYERS,H$1,FALSE),"+")</f>
        <v>4+</v>
      </c>
      <c r="I133" s="48" t="str">
        <f>CONCATENATE(VLOOKUP(CONCATENATE(VLOOKUP(A133,TEAMS,2,FALSE),TEXT($B133,"00")),PLAYERS,I$1,FALSE),IF(VLOOKUP(CONCATENATE(VLOOKUP(A133,TEAMS,2,FALSE),TEXT($B133,"00")),PLAYERS,I$1,FALSE)="-","","+"))</f>
        <v>5+</v>
      </c>
      <c r="J133" s="48" t="str">
        <f>CONCATENATE(VLOOKUP(CONCATENATE(VLOOKUP(A133,TEAMS,2,FALSE),TEXT($B133,"00")),PLAYERS,J$1,FALSE),"+")</f>
        <v>10+</v>
      </c>
      <c r="K133" s="50" t="str">
        <f>VLOOKUP(CONCATENATE(VLOOKUP(A133,TEAMS,2,FALSE),TEXT($B133,"00")),PLAYERS,K$1,FALSE)</f>
        <v>Bone Head*, Loner (4+)*, Mighty Blow (+1), Thick Skull, Throw Team-mate</v>
      </c>
      <c r="L133" s="49" t="str">
        <f>VLOOKUP(CONCATENATE(VLOOKUP(A133,TEAMS,2,FALSE),TEXT($B133,"00")),PLAYERS,L$1,FALSE)</f>
        <v>S</v>
      </c>
      <c r="M133" s="49" t="str">
        <f>VLOOKUP(CONCATENATE(VLOOKUP(A133,TEAMS,2,FALSE),TEXT($B133,"00")),PLAYERS,M$1,FALSE)</f>
        <v>AG</v>
      </c>
      <c r="N133" s="48" t="str">
        <f>CONCATENATE(ABS(VLOOKUP(CONCATENATE(VLOOKUP(A133,TEAMS,2,FALSE),TEXT(B133,"00")),PLAYERS,5,FALSE)),"k")</f>
        <v>140k</v>
      </c>
    </row>
    <row r="134" spans="1:14" x14ac:dyDescent="0.25">
      <c r="D134" s="17" t="s">
        <v>580</v>
      </c>
      <c r="E134" s="17" t="str">
        <f>CONCATENATE(VLOOKUP(A127,TEAMS,5,FALSE),"k")</f>
        <v>70k</v>
      </c>
      <c r="F134" s="364" t="s">
        <v>584</v>
      </c>
      <c r="G134" s="369"/>
      <c r="H134" s="369"/>
      <c r="I134" s="365"/>
      <c r="J134" s="48" t="str">
        <f>VLOOKUP(A127,TEAMS,6,FALSE)</f>
        <v>Yes</v>
      </c>
      <c r="K134" s="366" t="s">
        <v>585</v>
      </c>
      <c r="L134" s="367"/>
      <c r="M134" s="368"/>
      <c r="N134" s="51">
        <f>VLOOKUP(A127,TEAMS,8,FALSE)</f>
        <v>5</v>
      </c>
    </row>
    <row r="135" spans="1:14" ht="15" customHeight="1" x14ac:dyDescent="0.25">
      <c r="D135" s="364" t="s">
        <v>586</v>
      </c>
      <c r="E135" s="365"/>
      <c r="F135" s="360" t="str">
        <f>IFERROR(VLOOKUP(LEFT(VLOOKUP(A129,TEAMS,7,FALSE),3),SpecialRules,3,FALSE) &amp; VLOOKUP(MID(VLOOKUP(A129,TEAMS,7,FALSE),4,3),SpecialRules,3,FALSE),"")</f>
        <v/>
      </c>
      <c r="G135" s="360"/>
      <c r="H135" s="360"/>
      <c r="I135" s="360"/>
      <c r="J135" s="360"/>
      <c r="K135" s="360"/>
      <c r="L135" s="360"/>
      <c r="M135" s="360"/>
      <c r="N135" s="360"/>
    </row>
    <row r="136" spans="1:14" x14ac:dyDescent="0.25">
      <c r="D136" s="362"/>
      <c r="E136" s="362"/>
      <c r="F136" s="362"/>
      <c r="G136" s="362"/>
      <c r="H136" s="362"/>
      <c r="I136" s="362"/>
      <c r="J136" s="362"/>
      <c r="K136" s="362"/>
      <c r="L136" s="362"/>
      <c r="M136" s="362"/>
      <c r="N136" s="362"/>
    </row>
    <row r="137" spans="1:14" ht="21" x14ac:dyDescent="0.35">
      <c r="A137" s="6" t="s">
        <v>692</v>
      </c>
      <c r="B137" s="6">
        <v>4</v>
      </c>
      <c r="D137" s="354" t="str">
        <f>A137</f>
        <v>Khorne</v>
      </c>
      <c r="E137" s="355"/>
      <c r="F137" s="355"/>
      <c r="G137" s="355"/>
      <c r="H137" s="355"/>
      <c r="I137" s="355"/>
      <c r="J137" s="355"/>
      <c r="K137" s="355"/>
      <c r="L137" s="355"/>
      <c r="M137" s="355"/>
      <c r="N137" s="356"/>
    </row>
    <row r="138" spans="1:14" x14ac:dyDescent="0.25">
      <c r="A138" s="6" t="s">
        <v>692</v>
      </c>
      <c r="D138" s="17" t="s">
        <v>765</v>
      </c>
      <c r="E138" s="17" t="s">
        <v>3</v>
      </c>
      <c r="F138" s="48" t="s">
        <v>4</v>
      </c>
      <c r="G138" s="48" t="s">
        <v>5</v>
      </c>
      <c r="H138" s="48" t="s">
        <v>6</v>
      </c>
      <c r="I138" s="48" t="s">
        <v>7</v>
      </c>
      <c r="J138" s="48" t="s">
        <v>8</v>
      </c>
      <c r="K138" s="17" t="s">
        <v>566</v>
      </c>
      <c r="L138" s="17" t="s">
        <v>578</v>
      </c>
      <c r="M138" s="17" t="s">
        <v>579</v>
      </c>
      <c r="N138" s="51" t="s">
        <v>715</v>
      </c>
    </row>
    <row r="139" spans="1:14" x14ac:dyDescent="0.25">
      <c r="A139" s="6" t="s">
        <v>692</v>
      </c>
      <c r="B139" s="6">
        <v>1</v>
      </c>
      <c r="D139" s="49" t="str">
        <f>CONCATENATE("0-",VLOOKUP(CONCATENATE(VLOOKUP(A139,TEAMS,2,FALSE),TEXT(B139,"00")),PLAYERS,$D$1,FALSE),IF(VLOOKUP(CONCATENATE(VLOOKUP(A139,TEAMS,2,FALSE),TEXT(B139,"00")),PLAYERS,$D$1+1,FALSE)="BG"," *",""))</f>
        <v>0-16</v>
      </c>
      <c r="E139" s="50" t="str">
        <f>VLOOKUP(CONCATENATE(VLOOKUP(A139,TEAMS,2,FALSE),TEXT($B139,"00")),PLAYERS,E$1,FALSE)</f>
        <v>Bloodborn Marauder</v>
      </c>
      <c r="F139" s="48">
        <f>VLOOKUP(CONCATENATE(VLOOKUP(A139,TEAMS,2,FALSE),TEXT($B139,"00")),PLAYERS,F$1,FALSE)</f>
        <v>6</v>
      </c>
      <c r="G139" s="48">
        <f>VLOOKUP(CONCATENATE(VLOOKUP(A139,TEAMS,2,FALSE),TEXT($B139,"00")),PLAYERS,G$1,FALSE)</f>
        <v>3</v>
      </c>
      <c r="H139" s="48" t="str">
        <f>CONCATENATE(VLOOKUP(CONCATENATE(VLOOKUP(A139,TEAMS,2,FALSE),TEXT($B139,"00")),PLAYERS,H$1,FALSE),"+")</f>
        <v>3+</v>
      </c>
      <c r="I139" s="48" t="str">
        <f>CONCATENATE(VLOOKUP(CONCATENATE(VLOOKUP(A139,TEAMS,2,FALSE),TEXT($B139,"00")),PLAYERS,I$1,FALSE),IF(VLOOKUP(CONCATENATE(VLOOKUP(A139,TEAMS,2,FALSE),TEXT($B139,"00")),PLAYERS,I$1,FALSE)="-","","+"))</f>
        <v>4+</v>
      </c>
      <c r="J139" s="48" t="str">
        <f>CONCATENATE(VLOOKUP(CONCATENATE(VLOOKUP(A139,TEAMS,2,FALSE),TEXT($B139,"00")),PLAYERS,J$1,FALSE),"+")</f>
        <v>8+</v>
      </c>
      <c r="K139" s="50" t="str">
        <f>VLOOKUP(CONCATENATE(VLOOKUP(A139,TEAMS,2,FALSE),TEXT($B139,"00")),PLAYERS,K$1,FALSE)</f>
        <v>Frenzy*</v>
      </c>
      <c r="L139" s="49" t="str">
        <f>VLOOKUP(CONCATENATE(VLOOKUP(A139,TEAMS,2,FALSE),TEXT($B139,"00")),PLAYERS,L$1,FALSE)</f>
        <v>GM</v>
      </c>
      <c r="M139" s="49" t="str">
        <f>VLOOKUP(CONCATENATE(VLOOKUP(A139,TEAMS,2,FALSE),TEXT($B139,"00")),PLAYERS,M$1,FALSE)</f>
        <v>ASP</v>
      </c>
      <c r="N139" s="48" t="str">
        <f>CONCATENATE(ABS(VLOOKUP(CONCATENATE(VLOOKUP(A139,TEAMS,2,FALSE),TEXT(B139,"00")),PLAYERS,5,FALSE)),"k")</f>
        <v>50k</v>
      </c>
    </row>
    <row r="140" spans="1:14" x14ac:dyDescent="0.25">
      <c r="A140" s="6" t="s">
        <v>692</v>
      </c>
      <c r="B140" s="6">
        <v>2</v>
      </c>
      <c r="D140" s="49" t="str">
        <f>CONCATENATE("0-",VLOOKUP(CONCATENATE(VLOOKUP(A140,TEAMS,2,FALSE),TEXT(B140,"00")),PLAYERS,$D$1,FALSE),IF(VLOOKUP(CONCATENATE(VLOOKUP(A140,TEAMS,2,FALSE),TEXT(B140,"00")),PLAYERS,$D$1+1,FALSE)="BG"," *",""))</f>
        <v>0-4</v>
      </c>
      <c r="E140" s="50" t="str">
        <f>VLOOKUP(CONCATENATE(VLOOKUP(A140,TEAMS,2,FALSE),TEXT($B140,"00")),PLAYERS,E$1,FALSE)</f>
        <v>Khorngor</v>
      </c>
      <c r="F140" s="48">
        <f>VLOOKUP(CONCATENATE(VLOOKUP(A140,TEAMS,2,FALSE),TEXT($B140,"00")),PLAYERS,F$1,FALSE)</f>
        <v>6</v>
      </c>
      <c r="G140" s="48">
        <f>VLOOKUP(CONCATENATE(VLOOKUP(A140,TEAMS,2,FALSE),TEXT($B140,"00")),PLAYERS,G$1,FALSE)</f>
        <v>3</v>
      </c>
      <c r="H140" s="48" t="str">
        <f>CONCATENATE(VLOOKUP(CONCATENATE(VLOOKUP(A140,TEAMS,2,FALSE),TEXT($B140,"00")),PLAYERS,H$1,FALSE),"+")</f>
        <v>3+</v>
      </c>
      <c r="I140" s="48" t="str">
        <f>CONCATENATE(VLOOKUP(CONCATENATE(VLOOKUP(A140,TEAMS,2,FALSE),TEXT($B140,"00")),PLAYERS,I$1,FALSE),IF(VLOOKUP(CONCATENATE(VLOOKUP(A140,TEAMS,2,FALSE),TEXT($B140,"00")),PLAYERS,I$1,FALSE)="-","","+"))</f>
        <v>4+</v>
      </c>
      <c r="J140" s="48" t="str">
        <f>CONCATENATE(VLOOKUP(CONCATENATE(VLOOKUP(A140,TEAMS,2,FALSE),TEXT($B140,"00")),PLAYERS,J$1,FALSE),"+")</f>
        <v>9+</v>
      </c>
      <c r="K140" s="50" t="str">
        <f>VLOOKUP(CONCATENATE(VLOOKUP(A140,TEAMS,2,FALSE),TEXT($B140,"00")),PLAYERS,K$1,FALSE)</f>
        <v>Horns, Juggernaut</v>
      </c>
      <c r="L140" s="49" t="str">
        <f>VLOOKUP(CONCATENATE(VLOOKUP(A140,TEAMS,2,FALSE),TEXT($B140,"00")),PLAYERS,L$1,FALSE)</f>
        <v>GMS</v>
      </c>
      <c r="M140" s="49" t="str">
        <f>VLOOKUP(CONCATENATE(VLOOKUP(A140,TEAMS,2,FALSE),TEXT($B140,"00")),PLAYERS,M$1,FALSE)</f>
        <v>AP</v>
      </c>
      <c r="N140" s="48" t="str">
        <f>CONCATENATE(ABS(VLOOKUP(CONCATENATE(VLOOKUP(A140,TEAMS,2,FALSE),TEXT(B140,"00")),PLAYERS,5,FALSE)),"k")</f>
        <v>70k</v>
      </c>
    </row>
    <row r="141" spans="1:14" x14ac:dyDescent="0.25">
      <c r="A141" s="6" t="s">
        <v>692</v>
      </c>
      <c r="B141" s="6">
        <v>3</v>
      </c>
      <c r="D141" s="49" t="str">
        <f>CONCATENATE("0-",VLOOKUP(CONCATENATE(VLOOKUP(A141,TEAMS,2,FALSE),TEXT(B141,"00")),PLAYERS,$D$1,FALSE),IF(VLOOKUP(CONCATENATE(VLOOKUP(A141,TEAMS,2,FALSE),TEXT(B141,"00")),PLAYERS,$D$1+1,FALSE)="BG"," *",""))</f>
        <v>0-4</v>
      </c>
      <c r="E141" s="50" t="str">
        <f>VLOOKUP(CONCATENATE(VLOOKUP(A141,TEAMS,2,FALSE),TEXT($B141,"00")),PLAYERS,E$1,FALSE)</f>
        <v>Bloodseeker</v>
      </c>
      <c r="F141" s="48">
        <f>VLOOKUP(CONCATENATE(VLOOKUP(A141,TEAMS,2,FALSE),TEXT($B141,"00")),PLAYERS,F$1,FALSE)</f>
        <v>5</v>
      </c>
      <c r="G141" s="48">
        <f>VLOOKUP(CONCATENATE(VLOOKUP(A141,TEAMS,2,FALSE),TEXT($B141,"00")),PLAYERS,G$1,FALSE)</f>
        <v>4</v>
      </c>
      <c r="H141" s="48" t="str">
        <f>CONCATENATE(VLOOKUP(CONCATENATE(VLOOKUP(A141,TEAMS,2,FALSE),TEXT($B141,"00")),PLAYERS,H$1,FALSE),"+")</f>
        <v>4+</v>
      </c>
      <c r="I141" s="48" t="str">
        <f>CONCATENATE(VLOOKUP(CONCATENATE(VLOOKUP(A141,TEAMS,2,FALSE),TEXT($B141,"00")),PLAYERS,I$1,FALSE),IF(VLOOKUP(CONCATENATE(VLOOKUP(A141,TEAMS,2,FALSE),TEXT($B141,"00")),PLAYERS,I$1,FALSE)="-","","+"))</f>
        <v>6+</v>
      </c>
      <c r="J141" s="48" t="str">
        <f>CONCATENATE(VLOOKUP(CONCATENATE(VLOOKUP(A141,TEAMS,2,FALSE),TEXT($B141,"00")),PLAYERS,J$1,FALSE),"+")</f>
        <v>10+</v>
      </c>
      <c r="K141" s="50" t="str">
        <f>VLOOKUP(CONCATENATE(VLOOKUP(A141,TEAMS,2,FALSE),TEXT($B141,"00")),PLAYERS,K$1,FALSE)</f>
        <v>Frenzy*</v>
      </c>
      <c r="L141" s="49" t="str">
        <f>VLOOKUP(CONCATENATE(VLOOKUP(A141,TEAMS,2,FALSE),TEXT($B141,"00")),PLAYERS,L$1,FALSE)</f>
        <v>GMS</v>
      </c>
      <c r="M141" s="49" t="str">
        <f>VLOOKUP(CONCATENATE(VLOOKUP(A141,TEAMS,2,FALSE),TEXT($B141,"00")),PLAYERS,M$1,FALSE)</f>
        <v>A</v>
      </c>
      <c r="N141" s="48" t="str">
        <f>CONCATENATE(ABS(VLOOKUP(CONCATENATE(VLOOKUP(A141,TEAMS,2,FALSE),TEXT(B141,"00")),PLAYERS,5,FALSE)),"k")</f>
        <v>110k</v>
      </c>
    </row>
    <row r="142" spans="1:14" ht="30" x14ac:dyDescent="0.25">
      <c r="A142" s="6" t="s">
        <v>692</v>
      </c>
      <c r="B142" s="6">
        <v>4</v>
      </c>
      <c r="D142" s="49" t="str">
        <f>CONCATENATE("0-",VLOOKUP(CONCATENATE(VLOOKUP(A142,TEAMS,2,FALSE),TEXT(B142,"00")),PLAYERS,$D$1,FALSE),IF(VLOOKUP(CONCATENATE(VLOOKUP(A142,TEAMS,2,FALSE),TEXT(B142,"00")),PLAYERS,$D$1+1,FALSE)="BG"," *",""))</f>
        <v>0-1</v>
      </c>
      <c r="E142" s="50" t="str">
        <f>VLOOKUP(CONCATENATE(VLOOKUP(A142,TEAMS,2,FALSE),TEXT($B142,"00")),PLAYERS,E$1,FALSE)</f>
        <v>Bloodspawn</v>
      </c>
      <c r="F142" s="48">
        <f>VLOOKUP(CONCATENATE(VLOOKUP(A142,TEAMS,2,FALSE),TEXT($B142,"00")),PLAYERS,F$1,FALSE)</f>
        <v>5</v>
      </c>
      <c r="G142" s="48">
        <f>VLOOKUP(CONCATENATE(VLOOKUP(A142,TEAMS,2,FALSE),TEXT($B142,"00")),PLAYERS,G$1,FALSE)</f>
        <v>5</v>
      </c>
      <c r="H142" s="48" t="str">
        <f>CONCATENATE(VLOOKUP(CONCATENATE(VLOOKUP(A142,TEAMS,2,FALSE),TEXT($B142,"00")),PLAYERS,H$1,FALSE),"+")</f>
        <v>4+</v>
      </c>
      <c r="I142" s="48" t="str">
        <f>CONCATENATE(VLOOKUP(CONCATENATE(VLOOKUP(A142,TEAMS,2,FALSE),TEXT($B142,"00")),PLAYERS,I$1,FALSE),IF(VLOOKUP(CONCATENATE(VLOOKUP(A142,TEAMS,2,FALSE),TEXT($B142,"00")),PLAYERS,I$1,FALSE)="-","","+"))</f>
        <v>-</v>
      </c>
      <c r="J142" s="48" t="str">
        <f>CONCATENATE(VLOOKUP(CONCATENATE(VLOOKUP(A142,TEAMS,2,FALSE),TEXT($B142,"00")),PLAYERS,J$1,FALSE),"+")</f>
        <v>9+</v>
      </c>
      <c r="K142" s="50" t="str">
        <f>VLOOKUP(CONCATENATE(VLOOKUP(A142,TEAMS,2,FALSE),TEXT($B142,"00")),PLAYERS,K$1,FALSE)</f>
        <v>Claws, Frenzy*, Loner (4+)*, Mighty Blow (+1), Unchanneled Fury*</v>
      </c>
      <c r="L142" s="49" t="str">
        <f>VLOOKUP(CONCATENATE(VLOOKUP(A142,TEAMS,2,FALSE),TEXT($B142,"00")),PLAYERS,L$1,FALSE)</f>
        <v>MS</v>
      </c>
      <c r="M142" s="49" t="str">
        <f>VLOOKUP(CONCATENATE(VLOOKUP(A142,TEAMS,2,FALSE),TEXT($B142,"00")),PLAYERS,M$1,FALSE)</f>
        <v>AG</v>
      </c>
      <c r="N142" s="48" t="str">
        <f>CONCATENATE(ABS(VLOOKUP(CONCATENATE(VLOOKUP(A142,TEAMS,2,FALSE),TEXT(B142,"00")),PLAYERS,5,FALSE)),"k")</f>
        <v>160k</v>
      </c>
    </row>
    <row r="143" spans="1:14" x14ac:dyDescent="0.25">
      <c r="D143" s="17" t="s">
        <v>580</v>
      </c>
      <c r="E143" s="17" t="str">
        <f>CONCATENATE(VLOOKUP(A139,TEAMS,5,FALSE),"k")</f>
        <v>60k</v>
      </c>
      <c r="F143" s="364" t="s">
        <v>584</v>
      </c>
      <c r="G143" s="369"/>
      <c r="H143" s="369"/>
      <c r="I143" s="365"/>
      <c r="J143" s="48" t="str">
        <f>VLOOKUP(A139,TEAMS,6,FALSE)</f>
        <v>Yes</v>
      </c>
      <c r="K143" s="366" t="s">
        <v>585</v>
      </c>
      <c r="L143" s="367"/>
      <c r="M143" s="368"/>
      <c r="N143" s="51">
        <f>VLOOKUP(A139,TEAMS,8,FALSE)</f>
        <v>4</v>
      </c>
    </row>
    <row r="144" spans="1:14" ht="15" customHeight="1" x14ac:dyDescent="0.25">
      <c r="D144" s="364" t="s">
        <v>586</v>
      </c>
      <c r="E144" s="365"/>
      <c r="F144" s="360" t="str">
        <f>IFERROR(VLOOKUP(LEFT(VLOOKUP(A138,TEAMS,7,FALSE),3),SpecialRules,3,FALSE) &amp; VLOOKUP(MID(VLOOKUP(A138,TEAMS,7,FALSE),4,3),SpecialRules,3,FALSE),"")</f>
        <v/>
      </c>
      <c r="G144" s="360"/>
      <c r="H144" s="360"/>
      <c r="I144" s="360"/>
      <c r="J144" s="360"/>
      <c r="K144" s="360"/>
      <c r="L144" s="360"/>
      <c r="M144" s="360"/>
      <c r="N144" s="360"/>
    </row>
    <row r="145" spans="1:14" x14ac:dyDescent="0.25">
      <c r="D145" s="59"/>
      <c r="E145" s="59"/>
      <c r="F145" s="59"/>
      <c r="G145" s="59"/>
      <c r="H145" s="59"/>
      <c r="I145" s="59"/>
      <c r="J145" s="59"/>
      <c r="K145" s="59"/>
      <c r="L145" s="59"/>
      <c r="M145" s="59"/>
      <c r="N145" s="65"/>
    </row>
    <row r="146" spans="1:14" ht="21" x14ac:dyDescent="0.35">
      <c r="A146" s="6" t="s">
        <v>90</v>
      </c>
      <c r="B146" s="6">
        <v>4</v>
      </c>
      <c r="D146" s="354" t="str">
        <f>A146</f>
        <v>Lizardmen</v>
      </c>
      <c r="E146" s="355"/>
      <c r="F146" s="355"/>
      <c r="G146" s="355"/>
      <c r="H146" s="355"/>
      <c r="I146" s="355"/>
      <c r="J146" s="355"/>
      <c r="K146" s="355"/>
      <c r="L146" s="355"/>
      <c r="M146" s="355"/>
      <c r="N146" s="356"/>
    </row>
    <row r="147" spans="1:14" x14ac:dyDescent="0.25">
      <c r="A147" s="6" t="s">
        <v>90</v>
      </c>
      <c r="D147" s="17" t="s">
        <v>765</v>
      </c>
      <c r="E147" s="17" t="s">
        <v>3</v>
      </c>
      <c r="F147" s="48" t="s">
        <v>4</v>
      </c>
      <c r="G147" s="48" t="s">
        <v>5</v>
      </c>
      <c r="H147" s="48" t="s">
        <v>6</v>
      </c>
      <c r="I147" s="48" t="s">
        <v>7</v>
      </c>
      <c r="J147" s="48" t="s">
        <v>8</v>
      </c>
      <c r="K147" s="17" t="s">
        <v>566</v>
      </c>
      <c r="L147" s="17" t="s">
        <v>578</v>
      </c>
      <c r="M147" s="17" t="s">
        <v>579</v>
      </c>
      <c r="N147" s="51" t="s">
        <v>715</v>
      </c>
    </row>
    <row r="148" spans="1:14" x14ac:dyDescent="0.25">
      <c r="A148" s="6" t="s">
        <v>90</v>
      </c>
      <c r="B148" s="6">
        <v>1</v>
      </c>
      <c r="D148" s="49" t="str">
        <f>CONCATENATE("0-",VLOOKUP(CONCATENATE(VLOOKUP(A148,TEAMS,2,FALSE),TEXT(B148,"00")),PLAYERS,$D$1,FALSE),IF(VLOOKUP(CONCATENATE(VLOOKUP(A148,TEAMS,2,FALSE),TEXT(B148,"00")),PLAYERS,$D$1+1,FALSE)="BG"," *",""))</f>
        <v>0-12</v>
      </c>
      <c r="E148" s="50" t="str">
        <f>VLOOKUP(CONCATENATE(VLOOKUP(A148,TEAMS,2,FALSE),TEXT($B148,"00")),PLAYERS,E$1,FALSE)</f>
        <v>Skink Runner Lineman</v>
      </c>
      <c r="F148" s="48">
        <f>VLOOKUP(CONCATENATE(VLOOKUP(A148,TEAMS,2,FALSE),TEXT($B148,"00")),PLAYERS,F$1,FALSE)</f>
        <v>8</v>
      </c>
      <c r="G148" s="48">
        <f>VLOOKUP(CONCATENATE(VLOOKUP(A148,TEAMS,2,FALSE),TEXT($B148,"00")),PLAYERS,G$1,FALSE)</f>
        <v>2</v>
      </c>
      <c r="H148" s="48" t="str">
        <f>CONCATENATE(VLOOKUP(CONCATENATE(VLOOKUP(A148,TEAMS,2,FALSE),TEXT($B148,"00")),PLAYERS,H$1,FALSE),"+")</f>
        <v>3+</v>
      </c>
      <c r="I148" s="48" t="str">
        <f>CONCATENATE(VLOOKUP(CONCATENATE(VLOOKUP(A148,TEAMS,2,FALSE),TEXT($B148,"00")),PLAYERS,I$1,FALSE),IF(VLOOKUP(CONCATENATE(VLOOKUP(A148,TEAMS,2,FALSE),TEXT($B148,"00")),PLAYERS,I$1,FALSE)="-","","+"))</f>
        <v>4+</v>
      </c>
      <c r="J148" s="48" t="str">
        <f>CONCATENATE(VLOOKUP(CONCATENATE(VLOOKUP(A148,TEAMS,2,FALSE),TEXT($B148,"00")),PLAYERS,J$1,FALSE),"+")</f>
        <v>8+</v>
      </c>
      <c r="K148" s="50" t="str">
        <f>VLOOKUP(CONCATENATE(VLOOKUP(A148,TEAMS,2,FALSE),TEXT($B148,"00")),PLAYERS,K$1,FALSE)</f>
        <v>Dodge, Stunty*</v>
      </c>
      <c r="L148" s="49" t="str">
        <f>VLOOKUP(CONCATENATE(VLOOKUP(A148,TEAMS,2,FALSE),TEXT($B148,"00")),PLAYERS,L$1,FALSE)</f>
        <v>A</v>
      </c>
      <c r="M148" s="49" t="str">
        <f>VLOOKUP(CONCATENATE(VLOOKUP(A148,TEAMS,2,FALSE),TEXT($B148,"00")),PLAYERS,M$1,FALSE)</f>
        <v>GPS</v>
      </c>
      <c r="N148" s="48" t="str">
        <f>CONCATENATE(ABS(VLOOKUP(CONCATENATE(VLOOKUP(A148,TEAMS,2,FALSE),TEXT(B148,"00")),PLAYERS,5,FALSE)),"k")</f>
        <v>60k</v>
      </c>
    </row>
    <row r="149" spans="1:14" x14ac:dyDescent="0.25">
      <c r="A149" s="6" t="s">
        <v>90</v>
      </c>
      <c r="B149" s="6">
        <v>2</v>
      </c>
      <c r="D149" s="49" t="str">
        <f>CONCATENATE("0-",VLOOKUP(CONCATENATE(VLOOKUP(A149,TEAMS,2,FALSE),TEXT(B149,"00")),PLAYERS,$D$1,FALSE),IF(VLOOKUP(CONCATENATE(VLOOKUP(A149,TEAMS,2,FALSE),TEXT(B149,"00")),PLAYERS,$D$1+1,FALSE)="BG"," *",""))</f>
        <v>0-2</v>
      </c>
      <c r="E149" s="50" t="str">
        <f>VLOOKUP(CONCATENATE(VLOOKUP(A149,TEAMS,2,FALSE),TEXT($B149,"00")),PLAYERS,E$1,FALSE)</f>
        <v>Chameleon Skink</v>
      </c>
      <c r="F149" s="48">
        <f>VLOOKUP(CONCATENATE(VLOOKUP(A149,TEAMS,2,FALSE),TEXT($B149,"00")),PLAYERS,F$1,FALSE)</f>
        <v>7</v>
      </c>
      <c r="G149" s="48">
        <f>VLOOKUP(CONCATENATE(VLOOKUP(A149,TEAMS,2,FALSE),TEXT($B149,"00")),PLAYERS,G$1,FALSE)</f>
        <v>2</v>
      </c>
      <c r="H149" s="48" t="str">
        <f>CONCATENATE(VLOOKUP(CONCATENATE(VLOOKUP(A149,TEAMS,2,FALSE),TEXT($B149,"00")),PLAYERS,H$1,FALSE),"+")</f>
        <v>3+</v>
      </c>
      <c r="I149" s="48" t="str">
        <f>CONCATENATE(VLOOKUP(CONCATENATE(VLOOKUP(A149,TEAMS,2,FALSE),TEXT($B149,"00")),PLAYERS,I$1,FALSE),IF(VLOOKUP(CONCATENATE(VLOOKUP(A149,TEAMS,2,FALSE),TEXT($B149,"00")),PLAYERS,I$1,FALSE)="-","","+"))</f>
        <v>3+</v>
      </c>
      <c r="J149" s="48" t="str">
        <f>CONCATENATE(VLOOKUP(CONCATENATE(VLOOKUP(A149,TEAMS,2,FALSE),TEXT($B149,"00")),PLAYERS,J$1,FALSE),"+")</f>
        <v>8+</v>
      </c>
      <c r="K149" s="50" t="str">
        <f>VLOOKUP(CONCATENATE(VLOOKUP(A149,TEAMS,2,FALSE),TEXT($B149,"00")),PLAYERS,K$1,FALSE)</f>
        <v>Dodge, On the Ball, Shadowing, Stunty*</v>
      </c>
      <c r="L149" s="49" t="str">
        <f>VLOOKUP(CONCATENATE(VLOOKUP(A149,TEAMS,2,FALSE),TEXT($B149,"00")),PLAYERS,L$1,FALSE)</f>
        <v>A</v>
      </c>
      <c r="M149" s="49" t="str">
        <f>VLOOKUP(CONCATENATE(VLOOKUP(A149,TEAMS,2,FALSE),TEXT($B149,"00")),PLAYERS,M$1,FALSE)</f>
        <v>GPS</v>
      </c>
      <c r="N149" s="48" t="str">
        <f>CONCATENATE(ABS(VLOOKUP(CONCATENATE(VLOOKUP(A149,TEAMS,2,FALSE),TEXT(B149,"00")),PLAYERS,5,FALSE)),"k")</f>
        <v>70k</v>
      </c>
    </row>
    <row r="150" spans="1:14" x14ac:dyDescent="0.25">
      <c r="A150" s="6" t="s">
        <v>90</v>
      </c>
      <c r="B150" s="6">
        <v>3</v>
      </c>
      <c r="D150" s="49" t="str">
        <f>CONCATENATE("0-",VLOOKUP(CONCATENATE(VLOOKUP(A150,TEAMS,2,FALSE),TEXT(B150,"00")),PLAYERS,$D$1,FALSE),IF(VLOOKUP(CONCATENATE(VLOOKUP(A150,TEAMS,2,FALSE),TEXT(B150,"00")),PLAYERS,$D$1+1,FALSE)="BG"," *",""))</f>
        <v>0-6</v>
      </c>
      <c r="E150" s="50" t="str">
        <f>VLOOKUP(CONCATENATE(VLOOKUP(A150,TEAMS,2,FALSE),TEXT($B150,"00")),PLAYERS,E$1,FALSE)</f>
        <v>Saurus Blocker</v>
      </c>
      <c r="F150" s="48">
        <f>VLOOKUP(CONCATENATE(VLOOKUP(A150,TEAMS,2,FALSE),TEXT($B150,"00")),PLAYERS,F$1,FALSE)</f>
        <v>6</v>
      </c>
      <c r="G150" s="48">
        <f>VLOOKUP(CONCATENATE(VLOOKUP(A150,TEAMS,2,FALSE),TEXT($B150,"00")),PLAYERS,G$1,FALSE)</f>
        <v>4</v>
      </c>
      <c r="H150" s="48" t="str">
        <f>CONCATENATE(VLOOKUP(CONCATENATE(VLOOKUP(A150,TEAMS,2,FALSE),TEXT($B150,"00")),PLAYERS,H$1,FALSE),"+")</f>
        <v>5+</v>
      </c>
      <c r="I150" s="48" t="str">
        <f>CONCATENATE(VLOOKUP(CONCATENATE(VLOOKUP(A150,TEAMS,2,FALSE),TEXT($B150,"00")),PLAYERS,I$1,FALSE),IF(VLOOKUP(CONCATENATE(VLOOKUP(A150,TEAMS,2,FALSE),TEXT($B150,"00")),PLAYERS,I$1,FALSE)="-","","+"))</f>
        <v>6+</v>
      </c>
      <c r="J150" s="48" t="str">
        <f>CONCATENATE(VLOOKUP(CONCATENATE(VLOOKUP(A150,TEAMS,2,FALSE),TEXT($B150,"00")),PLAYERS,J$1,FALSE),"+")</f>
        <v>10+</v>
      </c>
      <c r="K150" s="50" t="str">
        <f>VLOOKUP(CONCATENATE(VLOOKUP(A150,TEAMS,2,FALSE),TEXT($B150,"00")),PLAYERS,K$1,FALSE)</f>
        <v>None</v>
      </c>
      <c r="L150" s="49" t="str">
        <f>VLOOKUP(CONCATENATE(VLOOKUP(A150,TEAMS,2,FALSE),TEXT($B150,"00")),PLAYERS,L$1,FALSE)</f>
        <v>GS</v>
      </c>
      <c r="M150" s="49" t="str">
        <f>VLOOKUP(CONCATENATE(VLOOKUP(A150,TEAMS,2,FALSE),TEXT($B150,"00")),PLAYERS,M$1,FALSE)</f>
        <v>A</v>
      </c>
      <c r="N150" s="48" t="str">
        <f>CONCATENATE(ABS(VLOOKUP(CONCATENATE(VLOOKUP(A150,TEAMS,2,FALSE),TEXT(B150,"00")),PLAYERS,5,FALSE)),"k")</f>
        <v>85k</v>
      </c>
    </row>
    <row r="151" spans="1:14" ht="30" x14ac:dyDescent="0.25">
      <c r="A151" s="6" t="s">
        <v>90</v>
      </c>
      <c r="B151" s="6">
        <v>4</v>
      </c>
      <c r="D151" s="49" t="str">
        <f>CONCATENATE("0-",VLOOKUP(CONCATENATE(VLOOKUP(A151,TEAMS,2,FALSE),TEXT(B151,"00")),PLAYERS,$D$1,FALSE),IF(VLOOKUP(CONCATENATE(VLOOKUP(A151,TEAMS,2,FALSE),TEXT(B151,"00")),PLAYERS,$D$1+1,FALSE)="BG"," *",""))</f>
        <v>0-1</v>
      </c>
      <c r="E151" s="50" t="str">
        <f>VLOOKUP(CONCATENATE(VLOOKUP(A151,TEAMS,2,FALSE),TEXT($B151,"00")),PLAYERS,E$1,FALSE)</f>
        <v>Kroxigor</v>
      </c>
      <c r="F151" s="48">
        <f>VLOOKUP(CONCATENATE(VLOOKUP(A151,TEAMS,2,FALSE),TEXT($B151,"00")),PLAYERS,F$1,FALSE)</f>
        <v>6</v>
      </c>
      <c r="G151" s="48">
        <f>VLOOKUP(CONCATENATE(VLOOKUP(A151,TEAMS,2,FALSE),TEXT($B151,"00")),PLAYERS,G$1,FALSE)</f>
        <v>5</v>
      </c>
      <c r="H151" s="48" t="str">
        <f>CONCATENATE(VLOOKUP(CONCATENATE(VLOOKUP(A151,TEAMS,2,FALSE),TEXT($B151,"00")),PLAYERS,H$1,FALSE),"+")</f>
        <v>5+</v>
      </c>
      <c r="I151" s="48" t="str">
        <f>CONCATENATE(VLOOKUP(CONCATENATE(VLOOKUP(A151,TEAMS,2,FALSE),TEXT($B151,"00")),PLAYERS,I$1,FALSE),IF(VLOOKUP(CONCATENATE(VLOOKUP(A151,TEAMS,2,FALSE),TEXT($B151,"00")),PLAYERS,I$1,FALSE)="-","","+"))</f>
        <v>-</v>
      </c>
      <c r="J151" s="48" t="str">
        <f>CONCATENATE(VLOOKUP(CONCATENATE(VLOOKUP(A151,TEAMS,2,FALSE),TEXT($B151,"00")),PLAYERS,J$1,FALSE),"+")</f>
        <v>10+</v>
      </c>
      <c r="K151" s="50" t="str">
        <f>VLOOKUP(CONCATENATE(VLOOKUP(A151,TEAMS,2,FALSE),TEXT($B151,"00")),PLAYERS,K$1,FALSE)</f>
        <v>Bone Head*, Loner (4+)*, Mighty Blow (+1), Prehensile Tail, Thick Skull</v>
      </c>
      <c r="L151" s="49" t="str">
        <f>VLOOKUP(CONCATENATE(VLOOKUP(A151,TEAMS,2,FALSE),TEXT($B151,"00")),PLAYERS,L$1,FALSE)</f>
        <v>S</v>
      </c>
      <c r="M151" s="49" t="str">
        <f>VLOOKUP(CONCATENATE(VLOOKUP(A151,TEAMS,2,FALSE),TEXT($B151,"00")),PLAYERS,M$1,FALSE)</f>
        <v>AG</v>
      </c>
      <c r="N151" s="48" t="str">
        <f>CONCATENATE(ABS(VLOOKUP(CONCATENATE(VLOOKUP(A151,TEAMS,2,FALSE),TEXT(B151,"00")),PLAYERS,5,FALSE)),"k")</f>
        <v>140k</v>
      </c>
    </row>
    <row r="152" spans="1:14" x14ac:dyDescent="0.25">
      <c r="D152" s="17" t="s">
        <v>580</v>
      </c>
      <c r="E152" s="17" t="str">
        <f>CONCATENATE(VLOOKUP(A146,TEAMS,5,FALSE),"k")</f>
        <v>70k</v>
      </c>
      <c r="F152" s="364" t="s">
        <v>584</v>
      </c>
      <c r="G152" s="369"/>
      <c r="H152" s="369"/>
      <c r="I152" s="365"/>
      <c r="J152" s="48" t="str">
        <f>VLOOKUP(A146,TEAMS,6,FALSE)</f>
        <v>Yes</v>
      </c>
      <c r="K152" s="366" t="s">
        <v>585</v>
      </c>
      <c r="L152" s="367"/>
      <c r="M152" s="368"/>
      <c r="N152" s="51">
        <f>VLOOKUP(A146,TEAMS,8,FALSE)</f>
        <v>1</v>
      </c>
    </row>
    <row r="153" spans="1:14" ht="15" customHeight="1" x14ac:dyDescent="0.25">
      <c r="D153" s="364" t="s">
        <v>586</v>
      </c>
      <c r="E153" s="365"/>
      <c r="F153" s="360" t="str">
        <f>IFERROR(VLOOKUP(LEFT(VLOOKUP(A147,TEAMS,7,FALSE),3),SpecialRules,3,FALSE) &amp; VLOOKUP(MID(VLOOKUP(A147,TEAMS,7,FALSE),4,3),SpecialRules,3,FALSE),"")</f>
        <v/>
      </c>
      <c r="G153" s="360"/>
      <c r="H153" s="360"/>
      <c r="I153" s="360"/>
      <c r="J153" s="360"/>
      <c r="K153" s="360"/>
      <c r="L153" s="360"/>
      <c r="M153" s="360"/>
      <c r="N153" s="360"/>
    </row>
    <row r="154" spans="1:14" x14ac:dyDescent="0.25">
      <c r="D154" s="362"/>
      <c r="E154" s="362"/>
      <c r="F154" s="362"/>
      <c r="G154" s="362"/>
      <c r="H154" s="362"/>
      <c r="I154" s="362"/>
      <c r="J154" s="362"/>
      <c r="K154" s="362"/>
      <c r="L154" s="362"/>
      <c r="M154" s="362"/>
      <c r="N154" s="362"/>
    </row>
    <row r="155" spans="1:14" ht="21" x14ac:dyDescent="0.35">
      <c r="A155" s="6" t="s">
        <v>91</v>
      </c>
      <c r="B155" s="6">
        <v>5</v>
      </c>
      <c r="D155" s="354" t="str">
        <f>A155</f>
        <v>Necromantic Horror</v>
      </c>
      <c r="E155" s="355"/>
      <c r="F155" s="355"/>
      <c r="G155" s="355"/>
      <c r="H155" s="355"/>
      <c r="I155" s="355"/>
      <c r="J155" s="355"/>
      <c r="K155" s="355"/>
      <c r="L155" s="355"/>
      <c r="M155" s="355"/>
      <c r="N155" s="356"/>
    </row>
    <row r="156" spans="1:14" x14ac:dyDescent="0.25">
      <c r="A156" s="6" t="s">
        <v>91</v>
      </c>
      <c r="D156" s="17" t="s">
        <v>765</v>
      </c>
      <c r="E156" s="17" t="s">
        <v>3</v>
      </c>
      <c r="F156" s="48" t="s">
        <v>4</v>
      </c>
      <c r="G156" s="48" t="s">
        <v>5</v>
      </c>
      <c r="H156" s="48" t="s">
        <v>6</v>
      </c>
      <c r="I156" s="48" t="s">
        <v>7</v>
      </c>
      <c r="J156" s="48" t="s">
        <v>8</v>
      </c>
      <c r="K156" s="17" t="s">
        <v>566</v>
      </c>
      <c r="L156" s="17" t="s">
        <v>578</v>
      </c>
      <c r="M156" s="17" t="s">
        <v>579</v>
      </c>
      <c r="N156" s="51" t="s">
        <v>715</v>
      </c>
    </row>
    <row r="157" spans="1:14" x14ac:dyDescent="0.25">
      <c r="A157" s="6" t="s">
        <v>91</v>
      </c>
      <c r="B157" s="6">
        <v>1</v>
      </c>
      <c r="D157" s="49" t="str">
        <f>CONCATENATE("0-",VLOOKUP(CONCATENATE(VLOOKUP(A157,TEAMS,2,FALSE),TEXT(B157,"00")),PLAYERS,$D$1,FALSE),IF(VLOOKUP(CONCATENATE(VLOOKUP(A157,TEAMS,2,FALSE),TEXT(B157,"00")),PLAYERS,$D$1+1,FALSE)="BG"," *",""))</f>
        <v>0-16</v>
      </c>
      <c r="E157" s="50" t="str">
        <f>VLOOKUP(CONCATENATE(VLOOKUP(A157,TEAMS,2,FALSE),TEXT($B157,"00")),PLAYERS,E$1,FALSE)</f>
        <v>Zombie Lineman °</v>
      </c>
      <c r="F157" s="48">
        <f>VLOOKUP(CONCATENATE(VLOOKUP(A157,TEAMS,2,FALSE),TEXT($B157,"00")),PLAYERS,F$1,FALSE)</f>
        <v>4</v>
      </c>
      <c r="G157" s="48">
        <f>VLOOKUP(CONCATENATE(VLOOKUP(A157,TEAMS,2,FALSE),TEXT($B157,"00")),PLAYERS,G$1,FALSE)</f>
        <v>3</v>
      </c>
      <c r="H157" s="48" t="str">
        <f>CONCATENATE(VLOOKUP(CONCATENATE(VLOOKUP(A157,TEAMS,2,FALSE),TEXT($B157,"00")),PLAYERS,H$1,FALSE),"+")</f>
        <v>4+</v>
      </c>
      <c r="I157" s="48" t="str">
        <f>CONCATENATE(VLOOKUP(CONCATENATE(VLOOKUP(A157,TEAMS,2,FALSE),TEXT($B157,"00")),PLAYERS,I$1,FALSE),IF(VLOOKUP(CONCATENATE(VLOOKUP(A157,TEAMS,2,FALSE),TEXT($B157,"00")),PLAYERS,I$1,FALSE)="-","","+"))</f>
        <v>-</v>
      </c>
      <c r="J157" s="48" t="str">
        <f>CONCATENATE(VLOOKUP(CONCATENATE(VLOOKUP(A157,TEAMS,2,FALSE),TEXT($B157,"00")),PLAYERS,J$1,FALSE),"+")</f>
        <v>9+</v>
      </c>
      <c r="K157" s="50" t="str">
        <f>VLOOKUP(CONCATENATE(VLOOKUP(A157,TEAMS,2,FALSE),TEXT($B157,"00")),PLAYERS,K$1,FALSE)</f>
        <v>Regeneration</v>
      </c>
      <c r="L157" s="49" t="str">
        <f>VLOOKUP(CONCATENATE(VLOOKUP(A157,TEAMS,2,FALSE),TEXT($B157,"00")),PLAYERS,L$1,FALSE)</f>
        <v>G</v>
      </c>
      <c r="M157" s="49" t="str">
        <f>VLOOKUP(CONCATENATE(VLOOKUP(A157,TEAMS,2,FALSE),TEXT($B157,"00")),PLAYERS,M$1,FALSE)</f>
        <v>AS</v>
      </c>
      <c r="N157" s="48" t="str">
        <f>CONCATENATE(ABS(VLOOKUP(CONCATENATE(VLOOKUP(A157,TEAMS,2,FALSE),TEXT(B157,"00")),PLAYERS,5,FALSE)),"k")</f>
        <v>40k</v>
      </c>
    </row>
    <row r="158" spans="1:14" x14ac:dyDescent="0.25">
      <c r="A158" s="6" t="s">
        <v>91</v>
      </c>
      <c r="B158" s="6">
        <v>2</v>
      </c>
      <c r="D158" s="49" t="str">
        <f>CONCATENATE("0-",VLOOKUP(CONCATENATE(VLOOKUP(A158,TEAMS,2,FALSE),TEXT(B158,"00")),PLAYERS,$D$1,FALSE),IF(VLOOKUP(CONCATENATE(VLOOKUP(A158,TEAMS,2,FALSE),TEXT(B158,"00")),PLAYERS,$D$1+1,FALSE)="BG"," *",""))</f>
        <v>0-2</v>
      </c>
      <c r="E158" s="50" t="str">
        <f>VLOOKUP(CONCATENATE(VLOOKUP(A158,TEAMS,2,FALSE),TEXT($B158,"00")),PLAYERS,E$1,FALSE)</f>
        <v>Ghoul Runner °</v>
      </c>
      <c r="F158" s="48">
        <f>VLOOKUP(CONCATENATE(VLOOKUP(A158,TEAMS,2,FALSE),TEXT($B158,"00")),PLAYERS,F$1,FALSE)</f>
        <v>7</v>
      </c>
      <c r="G158" s="48">
        <f>VLOOKUP(CONCATENATE(VLOOKUP(A158,TEAMS,2,FALSE),TEXT($B158,"00")),PLAYERS,G$1,FALSE)</f>
        <v>3</v>
      </c>
      <c r="H158" s="48" t="str">
        <f>CONCATENATE(VLOOKUP(CONCATENATE(VLOOKUP(A158,TEAMS,2,FALSE),TEXT($B158,"00")),PLAYERS,H$1,FALSE),"+")</f>
        <v>3+</v>
      </c>
      <c r="I158" s="48" t="str">
        <f>CONCATENATE(VLOOKUP(CONCATENATE(VLOOKUP(A158,TEAMS,2,FALSE),TEXT($B158,"00")),PLAYERS,I$1,FALSE),IF(VLOOKUP(CONCATENATE(VLOOKUP(A158,TEAMS,2,FALSE),TEXT($B158,"00")),PLAYERS,I$1,FALSE)="-","","+"))</f>
        <v>4+</v>
      </c>
      <c r="J158" s="48" t="str">
        <f>CONCATENATE(VLOOKUP(CONCATENATE(VLOOKUP(A158,TEAMS,2,FALSE),TEXT($B158,"00")),PLAYERS,J$1,FALSE),"+")</f>
        <v>8+</v>
      </c>
      <c r="K158" s="50" t="str">
        <f>VLOOKUP(CONCATENATE(VLOOKUP(A158,TEAMS,2,FALSE),TEXT($B158,"00")),PLAYERS,K$1,FALSE)</f>
        <v>Dodge</v>
      </c>
      <c r="L158" s="49" t="str">
        <f>VLOOKUP(CONCATENATE(VLOOKUP(A158,TEAMS,2,FALSE),TEXT($B158,"00")),PLAYERS,L$1,FALSE)</f>
        <v>AG</v>
      </c>
      <c r="M158" s="49" t="str">
        <f>VLOOKUP(CONCATENATE(VLOOKUP(A158,TEAMS,2,FALSE),TEXT($B158,"00")),PLAYERS,M$1,FALSE)</f>
        <v>PS</v>
      </c>
      <c r="N158" s="48" t="str">
        <f>CONCATENATE(ABS(VLOOKUP(CONCATENATE(VLOOKUP(A158,TEAMS,2,FALSE),TEXT(B158,"00")),PLAYERS,5,FALSE)),"k")</f>
        <v>75k</v>
      </c>
    </row>
    <row r="159" spans="1:14" ht="30" x14ac:dyDescent="0.25">
      <c r="A159" s="6" t="s">
        <v>91</v>
      </c>
      <c r="B159" s="6">
        <v>3</v>
      </c>
      <c r="D159" s="49" t="str">
        <f>CONCATENATE("0-",VLOOKUP(CONCATENATE(VLOOKUP(A159,TEAMS,2,FALSE),TEXT(B159,"00")),PLAYERS,$D$1,FALSE),IF(VLOOKUP(CONCATENATE(VLOOKUP(A159,TEAMS,2,FALSE),TEXT(B159,"00")),PLAYERS,$D$1+1,FALSE)="BG"," *",""))</f>
        <v>0-2</v>
      </c>
      <c r="E159" s="50" t="str">
        <f>VLOOKUP(CONCATENATE(VLOOKUP(A159,TEAMS,2,FALSE),TEXT($B159,"00")),PLAYERS,E$1,FALSE)</f>
        <v>Wraith</v>
      </c>
      <c r="F159" s="48">
        <f>VLOOKUP(CONCATENATE(VLOOKUP(A159,TEAMS,2,FALSE),TEXT($B159,"00")),PLAYERS,F$1,FALSE)</f>
        <v>6</v>
      </c>
      <c r="G159" s="48">
        <f>VLOOKUP(CONCATENATE(VLOOKUP(A159,TEAMS,2,FALSE),TEXT($B159,"00")),PLAYERS,G$1,FALSE)</f>
        <v>3</v>
      </c>
      <c r="H159" s="48" t="str">
        <f>CONCATENATE(VLOOKUP(CONCATENATE(VLOOKUP(A159,TEAMS,2,FALSE),TEXT($B159,"00")),PLAYERS,H$1,FALSE),"+")</f>
        <v>3+</v>
      </c>
      <c r="I159" s="48" t="str">
        <f>CONCATENATE(VLOOKUP(CONCATENATE(VLOOKUP(A159,TEAMS,2,FALSE),TEXT($B159,"00")),PLAYERS,I$1,FALSE),IF(VLOOKUP(CONCATENATE(VLOOKUP(A159,TEAMS,2,FALSE),TEXT($B159,"00")),PLAYERS,I$1,FALSE)="-","","+"))</f>
        <v>-</v>
      </c>
      <c r="J159" s="48" t="str">
        <f>CONCATENATE(VLOOKUP(CONCATENATE(VLOOKUP(A159,TEAMS,2,FALSE),TEXT($B159,"00")),PLAYERS,J$1,FALSE),"+")</f>
        <v>9+</v>
      </c>
      <c r="K159" s="50" t="str">
        <f>VLOOKUP(CONCATENATE(VLOOKUP(A159,TEAMS,2,FALSE),TEXT($B159,"00")),PLAYERS,K$1,FALSE)</f>
        <v>Block, Foul Appearance*, No Hands*, Regeneration, Sidestep</v>
      </c>
      <c r="L159" s="49" t="str">
        <f>VLOOKUP(CONCATENATE(VLOOKUP(A159,TEAMS,2,FALSE),TEXT($B159,"00")),PLAYERS,L$1,FALSE)</f>
        <v>GS</v>
      </c>
      <c r="M159" s="49" t="str">
        <f>VLOOKUP(CONCATENATE(VLOOKUP(A159,TEAMS,2,FALSE),TEXT($B159,"00")),PLAYERS,M$1,FALSE)</f>
        <v>A</v>
      </c>
      <c r="N159" s="48" t="str">
        <f>CONCATENATE(ABS(VLOOKUP(CONCATENATE(VLOOKUP(A159,TEAMS,2,FALSE),TEXT(B159,"00")),PLAYERS,5,FALSE)),"k")</f>
        <v>95k</v>
      </c>
    </row>
    <row r="160" spans="1:14" x14ac:dyDescent="0.25">
      <c r="A160" s="6" t="s">
        <v>91</v>
      </c>
      <c r="B160" s="6">
        <v>4</v>
      </c>
      <c r="D160" s="49" t="str">
        <f>CONCATENATE("0-",VLOOKUP(CONCATENATE(VLOOKUP(A160,TEAMS,2,FALSE),TEXT(B160,"00")),PLAYERS,$D$1,FALSE),IF(VLOOKUP(CONCATENATE(VLOOKUP(A160,TEAMS,2,FALSE),TEXT(B160,"00")),PLAYERS,$D$1+1,FALSE)="BG"," *",""))</f>
        <v>0-2</v>
      </c>
      <c r="E160" s="50" t="str">
        <f>VLOOKUP(CONCATENATE(VLOOKUP(A160,TEAMS,2,FALSE),TEXT($B160,"00")),PLAYERS,E$1,FALSE)</f>
        <v>Werewolf</v>
      </c>
      <c r="F160" s="48">
        <f>VLOOKUP(CONCATENATE(VLOOKUP(A160,TEAMS,2,FALSE),TEXT($B160,"00")),PLAYERS,F$1,FALSE)</f>
        <v>8</v>
      </c>
      <c r="G160" s="48">
        <f>VLOOKUP(CONCATENATE(VLOOKUP(A160,TEAMS,2,FALSE),TEXT($B160,"00")),PLAYERS,G$1,FALSE)</f>
        <v>3</v>
      </c>
      <c r="H160" s="48" t="str">
        <f>CONCATENATE(VLOOKUP(CONCATENATE(VLOOKUP(A160,TEAMS,2,FALSE),TEXT($B160,"00")),PLAYERS,H$1,FALSE),"+")</f>
        <v>3+</v>
      </c>
      <c r="I160" s="48" t="str">
        <f>CONCATENATE(VLOOKUP(CONCATENATE(VLOOKUP(A160,TEAMS,2,FALSE),TEXT($B160,"00")),PLAYERS,I$1,FALSE),IF(VLOOKUP(CONCATENATE(VLOOKUP(A160,TEAMS,2,FALSE),TEXT($B160,"00")),PLAYERS,I$1,FALSE)="-","","+"))</f>
        <v>4+</v>
      </c>
      <c r="J160" s="48" t="str">
        <f>CONCATENATE(VLOOKUP(CONCATENATE(VLOOKUP(A160,TEAMS,2,FALSE),TEXT($B160,"00")),PLAYERS,J$1,FALSE),"+")</f>
        <v>9+</v>
      </c>
      <c r="K160" s="50" t="str">
        <f>VLOOKUP(CONCATENATE(VLOOKUP(A160,TEAMS,2,FALSE),TEXT($B160,"00")),PLAYERS,K$1,FALSE)</f>
        <v>Claws, Frenzy*, Regeneration</v>
      </c>
      <c r="L160" s="49" t="str">
        <f>VLOOKUP(CONCATENATE(VLOOKUP(A160,TEAMS,2,FALSE),TEXT($B160,"00")),PLAYERS,L$1,FALSE)</f>
        <v>AG</v>
      </c>
      <c r="M160" s="49" t="str">
        <f>VLOOKUP(CONCATENATE(VLOOKUP(A160,TEAMS,2,FALSE),TEXT($B160,"00")),PLAYERS,M$1,FALSE)</f>
        <v>PS</v>
      </c>
      <c r="N160" s="48" t="str">
        <f>CONCATENATE(ABS(VLOOKUP(CONCATENATE(VLOOKUP(A160,TEAMS,2,FALSE),TEXT(B160,"00")),PLAYERS,5,FALSE)),"k")</f>
        <v>125k</v>
      </c>
    </row>
    <row r="161" spans="1:14" x14ac:dyDescent="0.25">
      <c r="A161" s="6" t="s">
        <v>91</v>
      </c>
      <c r="B161" s="6">
        <v>5</v>
      </c>
      <c r="D161" s="49" t="str">
        <f>CONCATENATE("0-",VLOOKUP(CONCATENATE(VLOOKUP(A161,TEAMS,2,FALSE),TEXT(B161,"00")),PLAYERS,$D$1,FALSE),IF(VLOOKUP(CONCATENATE(VLOOKUP(A161,TEAMS,2,FALSE),TEXT(B161,"00")),PLAYERS,$D$1+1,FALSE)="BG"," *",""))</f>
        <v>0-2</v>
      </c>
      <c r="E161" s="50" t="str">
        <f>VLOOKUP(CONCATENATE(VLOOKUP(A161,TEAMS,2,FALSE),TEXT($B161,"00")),PLAYERS,E$1,FALSE)</f>
        <v>Flesh Golem</v>
      </c>
      <c r="F161" s="48">
        <f>VLOOKUP(CONCATENATE(VLOOKUP(A161,TEAMS,2,FALSE),TEXT($B161,"00")),PLAYERS,F$1,FALSE)</f>
        <v>4</v>
      </c>
      <c r="G161" s="48">
        <f>VLOOKUP(CONCATENATE(VLOOKUP(A161,TEAMS,2,FALSE),TEXT($B161,"00")),PLAYERS,G$1,FALSE)</f>
        <v>4</v>
      </c>
      <c r="H161" s="48" t="str">
        <f>CONCATENATE(VLOOKUP(CONCATENATE(VLOOKUP(A161,TEAMS,2,FALSE),TEXT($B161,"00")),PLAYERS,H$1,FALSE),"+")</f>
        <v>4+</v>
      </c>
      <c r="I161" s="48" t="str">
        <f>CONCATENATE(VLOOKUP(CONCATENATE(VLOOKUP(A161,TEAMS,2,FALSE),TEXT($B161,"00")),PLAYERS,I$1,FALSE),IF(VLOOKUP(CONCATENATE(VLOOKUP(A161,TEAMS,2,FALSE),TEXT($B161,"00")),PLAYERS,I$1,FALSE)="-","","+"))</f>
        <v>-</v>
      </c>
      <c r="J161" s="48" t="str">
        <f>CONCATENATE(VLOOKUP(CONCATENATE(VLOOKUP(A161,TEAMS,2,FALSE),TEXT($B161,"00")),PLAYERS,J$1,FALSE),"+")</f>
        <v>10+</v>
      </c>
      <c r="K161" s="50" t="str">
        <f>VLOOKUP(CONCATENATE(VLOOKUP(A161,TEAMS,2,FALSE),TEXT($B161,"00")),PLAYERS,K$1,FALSE)</f>
        <v>Regeneration, Stand Firm, Thick Skull</v>
      </c>
      <c r="L161" s="49" t="str">
        <f>VLOOKUP(CONCATENATE(VLOOKUP(A161,TEAMS,2,FALSE),TEXT($B161,"00")),PLAYERS,L$1,FALSE)</f>
        <v>GS</v>
      </c>
      <c r="M161" s="49" t="str">
        <f>VLOOKUP(CONCATENATE(VLOOKUP(A161,TEAMS,2,FALSE),TEXT($B161,"00")),PLAYERS,M$1,FALSE)</f>
        <v>A</v>
      </c>
      <c r="N161" s="48" t="str">
        <f>CONCATENATE(ABS(VLOOKUP(CONCATENATE(VLOOKUP(A161,TEAMS,2,FALSE),TEXT(B161,"00")),PLAYERS,5,FALSE)),"k")</f>
        <v>115k</v>
      </c>
    </row>
    <row r="162" spans="1:14" x14ac:dyDescent="0.25">
      <c r="D162" s="17" t="s">
        <v>580</v>
      </c>
      <c r="E162" s="17" t="str">
        <f>CONCATENATE(VLOOKUP(A155,TEAMS,5,FALSE),"k")</f>
        <v>70k</v>
      </c>
      <c r="F162" s="364" t="s">
        <v>584</v>
      </c>
      <c r="G162" s="369"/>
      <c r="H162" s="369"/>
      <c r="I162" s="365"/>
      <c r="J162" s="48" t="str">
        <f>VLOOKUP(A155,TEAMS,6,FALSE)</f>
        <v>No</v>
      </c>
      <c r="K162" s="366" t="s">
        <v>585</v>
      </c>
      <c r="L162" s="367"/>
      <c r="M162" s="368"/>
      <c r="N162" s="51">
        <f>VLOOKUP(A155,TEAMS,8,FALSE)</f>
        <v>3</v>
      </c>
    </row>
    <row r="163" spans="1:14" ht="61.5" customHeight="1" x14ac:dyDescent="0.25">
      <c r="D163" s="364" t="s">
        <v>586</v>
      </c>
      <c r="E163" s="365"/>
      <c r="F163" s="360" t="str">
        <f>IFERROR(VLOOKUP(LEFT(VLOOKUP(A157,TEAMS,7,FALSE),3),SpecialRules,3,FALSE) &amp; VLOOKUP(MID(VLOOKUP(A157,TEAMS,7,FALSE),4,3),SpecialRules,3,FALSE),"")</f>
        <v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Unless this team is a Vampire team, this team may not hire an Apothecary. This team is allowed to induce a Mortuary Assistant. </v>
      </c>
      <c r="G163" s="360"/>
      <c r="H163" s="360"/>
      <c r="I163" s="360"/>
      <c r="J163" s="360"/>
      <c r="K163" s="360"/>
      <c r="L163" s="360"/>
      <c r="M163" s="360"/>
      <c r="N163" s="360"/>
    </row>
    <row r="164" spans="1:14" x14ac:dyDescent="0.25">
      <c r="D164" s="141"/>
      <c r="E164" s="141"/>
      <c r="F164" s="142"/>
      <c r="G164" s="142"/>
      <c r="H164" s="142"/>
      <c r="I164" s="142"/>
      <c r="J164" s="142"/>
      <c r="K164" s="142"/>
      <c r="L164" s="142"/>
      <c r="M164" s="142"/>
      <c r="N164" s="142"/>
    </row>
    <row r="165" spans="1:14" ht="21" x14ac:dyDescent="0.35">
      <c r="A165" s="6" t="s">
        <v>94</v>
      </c>
      <c r="B165" s="6">
        <v>6</v>
      </c>
      <c r="D165" s="354" t="str">
        <f>A165</f>
        <v>Norse</v>
      </c>
      <c r="E165" s="355"/>
      <c r="F165" s="355"/>
      <c r="G165" s="355"/>
      <c r="H165" s="355"/>
      <c r="I165" s="355"/>
      <c r="J165" s="355"/>
      <c r="K165" s="355"/>
      <c r="L165" s="355"/>
      <c r="M165" s="355"/>
      <c r="N165" s="356"/>
    </row>
    <row r="166" spans="1:14" x14ac:dyDescent="0.25">
      <c r="A166" s="6" t="s">
        <v>94</v>
      </c>
      <c r="D166" s="17" t="s">
        <v>765</v>
      </c>
      <c r="E166" s="17" t="s">
        <v>3</v>
      </c>
      <c r="F166" s="48" t="s">
        <v>4</v>
      </c>
      <c r="G166" s="48" t="s">
        <v>5</v>
      </c>
      <c r="H166" s="48" t="s">
        <v>6</v>
      </c>
      <c r="I166" s="48" t="s">
        <v>7</v>
      </c>
      <c r="J166" s="48" t="s">
        <v>8</v>
      </c>
      <c r="K166" s="17" t="s">
        <v>566</v>
      </c>
      <c r="L166" s="17" t="s">
        <v>578</v>
      </c>
      <c r="M166" s="17" t="s">
        <v>579</v>
      </c>
      <c r="N166" s="51" t="s">
        <v>715</v>
      </c>
    </row>
    <row r="167" spans="1:14" x14ac:dyDescent="0.25">
      <c r="A167" s="6" t="s">
        <v>94</v>
      </c>
      <c r="B167" s="6">
        <v>1</v>
      </c>
      <c r="D167" s="49" t="str">
        <f t="shared" ref="D167:D172" si="33">CONCATENATE("0-",VLOOKUP(CONCATENATE(VLOOKUP(A167,TEAMS,2,FALSE),TEXT(B167,"00")),PLAYERS,$D$1,FALSE),IF(VLOOKUP(CONCATENATE(VLOOKUP(A167,TEAMS,2,FALSE),TEXT(B167,"00")),PLAYERS,$D$1+1,FALSE)="BG"," *",""))</f>
        <v>0-16</v>
      </c>
      <c r="E167" s="50" t="str">
        <f t="shared" ref="E167:E172" si="34">VLOOKUP(CONCATENATE(VLOOKUP(A167,TEAMS,2,FALSE),TEXT($B167,"00")),PLAYERS,E$1,FALSE)</f>
        <v>Norse Raider Lineman</v>
      </c>
      <c r="F167" s="48">
        <f t="shared" ref="F167:F172" si="35">VLOOKUP(CONCATENATE(VLOOKUP(A167,TEAMS,2,FALSE),TEXT($B167,"00")),PLAYERS,F$1,FALSE)</f>
        <v>6</v>
      </c>
      <c r="G167" s="48">
        <f t="shared" ref="G167:G172" si="36">VLOOKUP(CONCATENATE(VLOOKUP(A167,TEAMS,2,FALSE),TEXT($B167,"00")),PLAYERS,G$1,FALSE)</f>
        <v>3</v>
      </c>
      <c r="H167" s="48" t="str">
        <f t="shared" ref="H167:H172" si="37">CONCATENATE(VLOOKUP(CONCATENATE(VLOOKUP(A167,TEAMS,2,FALSE),TEXT($B167,"00")),PLAYERS,H$1,FALSE),"+")</f>
        <v>3+</v>
      </c>
      <c r="I167" s="48" t="str">
        <f t="shared" ref="I167:I172" si="38">CONCATENATE(VLOOKUP(CONCATENATE(VLOOKUP(A167,TEAMS,2,FALSE),TEXT($B167,"00")),PLAYERS,I$1,FALSE),IF(VLOOKUP(CONCATENATE(VLOOKUP(A167,TEAMS,2,FALSE),TEXT($B167,"00")),PLAYERS,I$1,FALSE)="-","","+"))</f>
        <v>4+</v>
      </c>
      <c r="J167" s="48" t="str">
        <f t="shared" ref="J167:J172" si="39">CONCATENATE(VLOOKUP(CONCATENATE(VLOOKUP(A167,TEAMS,2,FALSE),TEXT($B167,"00")),PLAYERS,J$1,FALSE),"+")</f>
        <v>8+</v>
      </c>
      <c r="K167" s="50" t="str">
        <f t="shared" ref="K167:K172" si="40">VLOOKUP(CONCATENATE(VLOOKUP(A167,TEAMS,2,FALSE),TEXT($B167,"00")),PLAYERS,K$1,FALSE)</f>
        <v>Block, Drunkard, Thick Skull</v>
      </c>
      <c r="L167" s="49" t="str">
        <f t="shared" ref="L167:L172" si="41">VLOOKUP(CONCATENATE(VLOOKUP(A167,TEAMS,2,FALSE),TEXT($B167,"00")),PLAYERS,L$1,FALSE)</f>
        <v>G</v>
      </c>
      <c r="M167" s="49" t="str">
        <f t="shared" ref="M167:M172" si="42">VLOOKUP(CONCATENATE(VLOOKUP(A167,TEAMS,2,FALSE),TEXT($B167,"00")),PLAYERS,M$1,FALSE)</f>
        <v>APS</v>
      </c>
      <c r="N167" s="48" t="str">
        <f t="shared" ref="N167:N172" si="43">CONCATENATE(ABS(VLOOKUP(CONCATENATE(VLOOKUP(A167,TEAMS,2,FALSE),TEXT(B167,"00")),PLAYERS,5,FALSE)),"k")</f>
        <v>50k</v>
      </c>
    </row>
    <row r="168" spans="1:14" x14ac:dyDescent="0.25">
      <c r="A168" s="6" t="s">
        <v>94</v>
      </c>
      <c r="B168" s="6">
        <v>2</v>
      </c>
      <c r="D168" s="49" t="str">
        <f t="shared" si="33"/>
        <v>0-2</v>
      </c>
      <c r="E168" s="50" t="str">
        <f t="shared" si="34"/>
        <v>Norse Berserker</v>
      </c>
      <c r="F168" s="48">
        <f t="shared" si="35"/>
        <v>6</v>
      </c>
      <c r="G168" s="48">
        <f t="shared" si="36"/>
        <v>3</v>
      </c>
      <c r="H168" s="48" t="str">
        <f t="shared" si="37"/>
        <v>3+</v>
      </c>
      <c r="I168" s="48" t="str">
        <f t="shared" si="38"/>
        <v>5+</v>
      </c>
      <c r="J168" s="48" t="str">
        <f t="shared" si="39"/>
        <v>8+</v>
      </c>
      <c r="K168" s="50" t="str">
        <f t="shared" si="40"/>
        <v>Block, Frenzy*, Jump Up</v>
      </c>
      <c r="L168" s="49" t="str">
        <f t="shared" si="41"/>
        <v>GS</v>
      </c>
      <c r="M168" s="49" t="str">
        <f t="shared" si="42"/>
        <v>AP</v>
      </c>
      <c r="N168" s="48" t="str">
        <f t="shared" si="43"/>
        <v>90k</v>
      </c>
    </row>
    <row r="169" spans="1:14" x14ac:dyDescent="0.25">
      <c r="A169" s="6" t="s">
        <v>94</v>
      </c>
      <c r="B169" s="6">
        <v>3</v>
      </c>
      <c r="D169" s="49" t="str">
        <f t="shared" si="33"/>
        <v>0-2</v>
      </c>
      <c r="E169" s="50" t="str">
        <f t="shared" si="34"/>
        <v>Beer Boar</v>
      </c>
      <c r="F169" s="48">
        <f t="shared" si="35"/>
        <v>5</v>
      </c>
      <c r="G169" s="48">
        <f t="shared" si="36"/>
        <v>1</v>
      </c>
      <c r="H169" s="48" t="str">
        <f t="shared" si="37"/>
        <v>3+</v>
      </c>
      <c r="I169" s="48" t="str">
        <f t="shared" si="38"/>
        <v>-</v>
      </c>
      <c r="J169" s="48" t="str">
        <f t="shared" si="39"/>
        <v>6+</v>
      </c>
      <c r="K169" s="50" t="str">
        <f t="shared" si="40"/>
        <v>Dodge, No Hands, Pick-me-up, Stunty, Titchy</v>
      </c>
      <c r="L169" s="49" t="str">
        <f t="shared" si="41"/>
        <v>-</v>
      </c>
      <c r="M169" s="49" t="str">
        <f t="shared" si="42"/>
        <v>A</v>
      </c>
      <c r="N169" s="48" t="str">
        <f t="shared" si="43"/>
        <v>20k</v>
      </c>
    </row>
    <row r="170" spans="1:14" x14ac:dyDescent="0.25">
      <c r="A170" s="6" t="s">
        <v>94</v>
      </c>
      <c r="B170" s="6">
        <v>4</v>
      </c>
      <c r="D170" s="49" t="str">
        <f t="shared" si="33"/>
        <v>0-2</v>
      </c>
      <c r="E170" s="50" t="str">
        <f t="shared" si="34"/>
        <v>Valkyrie</v>
      </c>
      <c r="F170" s="48">
        <f t="shared" si="35"/>
        <v>7</v>
      </c>
      <c r="G170" s="48">
        <f t="shared" si="36"/>
        <v>3</v>
      </c>
      <c r="H170" s="48" t="str">
        <f t="shared" si="37"/>
        <v>3+</v>
      </c>
      <c r="I170" s="48" t="str">
        <f t="shared" si="38"/>
        <v>3+</v>
      </c>
      <c r="J170" s="48" t="str">
        <f t="shared" si="39"/>
        <v>8+</v>
      </c>
      <c r="K170" s="50" t="str">
        <f t="shared" si="40"/>
        <v>Catch, Dauntless, Pass, Strip Ball</v>
      </c>
      <c r="L170" s="49" t="str">
        <f t="shared" si="41"/>
        <v>AGP</v>
      </c>
      <c r="M170" s="49" t="str">
        <f t="shared" si="42"/>
        <v>S</v>
      </c>
      <c r="N170" s="48" t="str">
        <f t="shared" si="43"/>
        <v>95k</v>
      </c>
    </row>
    <row r="171" spans="1:14" x14ac:dyDescent="0.25">
      <c r="A171" s="6" t="s">
        <v>94</v>
      </c>
      <c r="B171" s="6">
        <v>5</v>
      </c>
      <c r="D171" s="49" t="str">
        <f t="shared" si="33"/>
        <v>0-2</v>
      </c>
      <c r="E171" s="50" t="str">
        <f t="shared" si="34"/>
        <v>Ulfwerener</v>
      </c>
      <c r="F171" s="48">
        <f t="shared" si="35"/>
        <v>6</v>
      </c>
      <c r="G171" s="48">
        <f t="shared" si="36"/>
        <v>4</v>
      </c>
      <c r="H171" s="48" t="str">
        <f t="shared" si="37"/>
        <v>4+</v>
      </c>
      <c r="I171" s="48" t="str">
        <f t="shared" si="38"/>
        <v>-</v>
      </c>
      <c r="J171" s="48" t="str">
        <f t="shared" si="39"/>
        <v>9+</v>
      </c>
      <c r="K171" s="50" t="str">
        <f t="shared" si="40"/>
        <v>Frenzy*</v>
      </c>
      <c r="L171" s="49" t="str">
        <f t="shared" si="41"/>
        <v>GS</v>
      </c>
      <c r="M171" s="49" t="str">
        <f t="shared" si="42"/>
        <v>A</v>
      </c>
      <c r="N171" s="48" t="str">
        <f t="shared" si="43"/>
        <v>105k</v>
      </c>
    </row>
    <row r="172" spans="1:14" ht="30" x14ac:dyDescent="0.25">
      <c r="A172" s="6" t="s">
        <v>94</v>
      </c>
      <c r="B172" s="6">
        <v>6</v>
      </c>
      <c r="D172" s="49" t="str">
        <f t="shared" si="33"/>
        <v>0-1</v>
      </c>
      <c r="E172" s="50" t="str">
        <f t="shared" si="34"/>
        <v>Yhetee</v>
      </c>
      <c r="F172" s="48">
        <f t="shared" si="35"/>
        <v>5</v>
      </c>
      <c r="G172" s="48">
        <f t="shared" si="36"/>
        <v>5</v>
      </c>
      <c r="H172" s="48" t="str">
        <f t="shared" si="37"/>
        <v>4+</v>
      </c>
      <c r="I172" s="48" t="str">
        <f t="shared" si="38"/>
        <v>-</v>
      </c>
      <c r="J172" s="48" t="str">
        <f t="shared" si="39"/>
        <v>9+</v>
      </c>
      <c r="K172" s="50" t="str">
        <f t="shared" si="40"/>
        <v>Claws, Disturbing Presence*, Frenzy*, Loner (4+)*, Unchannelled Fury*</v>
      </c>
      <c r="L172" s="49" t="str">
        <f t="shared" si="41"/>
        <v>S</v>
      </c>
      <c r="M172" s="49" t="str">
        <f t="shared" si="42"/>
        <v>AG</v>
      </c>
      <c r="N172" s="48" t="str">
        <f t="shared" si="43"/>
        <v>140k</v>
      </c>
    </row>
    <row r="173" spans="1:14" x14ac:dyDescent="0.25">
      <c r="D173" s="17" t="s">
        <v>580</v>
      </c>
      <c r="E173" s="17" t="str">
        <f>CONCATENATE(VLOOKUP(A165,TEAMS,5,FALSE),"k")</f>
        <v>60k</v>
      </c>
      <c r="F173" s="364" t="s">
        <v>584</v>
      </c>
      <c r="G173" s="369"/>
      <c r="H173" s="369"/>
      <c r="I173" s="365"/>
      <c r="J173" s="48" t="str">
        <f>VLOOKUP(A165,TEAMS,6,FALSE)</f>
        <v>Yes</v>
      </c>
      <c r="K173" s="366" t="s">
        <v>585</v>
      </c>
      <c r="L173" s="367"/>
      <c r="M173" s="368"/>
      <c r="N173" s="51">
        <f>VLOOKUP(A165,TEAMS,8,FALSE)</f>
        <v>2</v>
      </c>
    </row>
    <row r="174" spans="1:14" x14ac:dyDescent="0.25">
      <c r="D174" s="364" t="s">
        <v>586</v>
      </c>
      <c r="E174" s="365"/>
      <c r="F174" s="360" t="str">
        <f>IFERROR(VLOOKUP(LEFT(VLOOKUP(A168,TEAMS,7,FALSE),3),SpecialRules,3,FALSE) &amp; VLOOKUP(MID(VLOOKUP(A168,TEAMS,7,FALSE),4,3),SpecialRules,3,FALSE),"")</f>
        <v/>
      </c>
      <c r="G174" s="360"/>
      <c r="H174" s="360"/>
      <c r="I174" s="360"/>
      <c r="J174" s="360"/>
      <c r="K174" s="360"/>
      <c r="L174" s="360"/>
      <c r="M174" s="360"/>
      <c r="N174" s="360"/>
    </row>
    <row r="175" spans="1:14" x14ac:dyDescent="0.25">
      <c r="D175" s="362"/>
      <c r="E175" s="362"/>
      <c r="F175" s="362"/>
      <c r="G175" s="362"/>
      <c r="H175" s="362"/>
      <c r="I175" s="362"/>
      <c r="J175" s="362"/>
      <c r="K175" s="362"/>
      <c r="L175" s="362"/>
      <c r="M175" s="362"/>
      <c r="N175" s="362"/>
    </row>
    <row r="176" spans="1:14" ht="21" x14ac:dyDescent="0.35">
      <c r="A176" s="6" t="s">
        <v>92</v>
      </c>
      <c r="B176" s="6">
        <v>4</v>
      </c>
      <c r="D176" s="354" t="str">
        <f>A176</f>
        <v>Nurgle</v>
      </c>
      <c r="E176" s="355"/>
      <c r="F176" s="355"/>
      <c r="G176" s="355"/>
      <c r="H176" s="355"/>
      <c r="I176" s="355"/>
      <c r="J176" s="355"/>
      <c r="K176" s="355"/>
      <c r="L176" s="355"/>
      <c r="M176" s="355"/>
      <c r="N176" s="356"/>
    </row>
    <row r="177" spans="1:14" x14ac:dyDescent="0.25">
      <c r="A177" s="6" t="s">
        <v>92</v>
      </c>
      <c r="D177" s="17" t="s">
        <v>765</v>
      </c>
      <c r="E177" s="17" t="s">
        <v>3</v>
      </c>
      <c r="F177" s="48" t="s">
        <v>4</v>
      </c>
      <c r="G177" s="48" t="s">
        <v>5</v>
      </c>
      <c r="H177" s="48" t="s">
        <v>6</v>
      </c>
      <c r="I177" s="48" t="s">
        <v>7</v>
      </c>
      <c r="J177" s="48" t="s">
        <v>8</v>
      </c>
      <c r="K177" s="17" t="s">
        <v>566</v>
      </c>
      <c r="L177" s="17" t="s">
        <v>578</v>
      </c>
      <c r="M177" s="17" t="s">
        <v>579</v>
      </c>
      <c r="N177" s="51" t="s">
        <v>715</v>
      </c>
    </row>
    <row r="178" spans="1:14" x14ac:dyDescent="0.25">
      <c r="A178" s="6" t="s">
        <v>92</v>
      </c>
      <c r="B178" s="6">
        <v>1</v>
      </c>
      <c r="D178" s="49" t="str">
        <f>CONCATENATE("0-",VLOOKUP(CONCATENATE(VLOOKUP(A178,TEAMS,2,FALSE),TEXT(B178,"00")),PLAYERS,$D$1,FALSE),IF(VLOOKUP(CONCATENATE(VLOOKUP(A178,TEAMS,2,FALSE),TEXT(B178,"00")),PLAYERS,$D$1+1,FALSE)="BG"," *",""))</f>
        <v>0-12</v>
      </c>
      <c r="E178" s="50" t="str">
        <f>VLOOKUP(CONCATENATE(VLOOKUP(A178,TEAMS,2,FALSE),TEXT($B178,"00")),PLAYERS,E$1,FALSE)</f>
        <v>Rotter Lineman</v>
      </c>
      <c r="F178" s="48">
        <f>VLOOKUP(CONCATENATE(VLOOKUP(A178,TEAMS,2,FALSE),TEXT($B178,"00")),PLAYERS,F$1,FALSE)</f>
        <v>5</v>
      </c>
      <c r="G178" s="48">
        <f>VLOOKUP(CONCATENATE(VLOOKUP(A178,TEAMS,2,FALSE),TEXT($B178,"00")),PLAYERS,G$1,FALSE)</f>
        <v>3</v>
      </c>
      <c r="H178" s="48" t="str">
        <f>CONCATENATE(VLOOKUP(CONCATENATE(VLOOKUP(A178,TEAMS,2,FALSE),TEXT($B178,"00")),PLAYERS,H$1,FALSE),"+")</f>
        <v>4+</v>
      </c>
      <c r="I178" s="48" t="str">
        <f>CONCATENATE(VLOOKUP(CONCATENATE(VLOOKUP(A178,TEAMS,2,FALSE),TEXT($B178,"00")),PLAYERS,I$1,FALSE),IF(VLOOKUP(CONCATENATE(VLOOKUP(A178,TEAMS,2,FALSE),TEXT($B178,"00")),PLAYERS,I$1,FALSE)="-","","+"))</f>
        <v>6+</v>
      </c>
      <c r="J178" s="48" t="str">
        <f>CONCATENATE(VLOOKUP(CONCATENATE(VLOOKUP(A178,TEAMS,2,FALSE),TEXT($B178,"00")),PLAYERS,J$1,FALSE),"+")</f>
        <v>9+</v>
      </c>
      <c r="K178" s="50" t="str">
        <f>VLOOKUP(CONCATENATE(VLOOKUP(A178,TEAMS,2,FALSE),TEXT($B178,"00")),PLAYERS,K$1,FALSE)</f>
        <v>Decay*, Plague Ridden</v>
      </c>
      <c r="L178" s="49" t="str">
        <f>VLOOKUP(CONCATENATE(VLOOKUP(A178,TEAMS,2,FALSE),TEXT($B178,"00")),PLAYERS,L$1,FALSE)</f>
        <v>GM</v>
      </c>
      <c r="M178" s="49" t="str">
        <f>VLOOKUP(CONCATENATE(VLOOKUP(A178,TEAMS,2,FALSE),TEXT($B178,"00")),PLAYERS,M$1,FALSE)</f>
        <v>AS</v>
      </c>
      <c r="N178" s="48" t="str">
        <f>CONCATENATE(ABS(VLOOKUP(CONCATENATE(VLOOKUP(A178,TEAMS,2,FALSE),TEXT(B178,"00")),PLAYERS,5,FALSE)),"k")</f>
        <v>35k</v>
      </c>
    </row>
    <row r="179" spans="1:14" x14ac:dyDescent="0.25">
      <c r="A179" s="6" t="s">
        <v>92</v>
      </c>
      <c r="B179" s="6">
        <v>2</v>
      </c>
      <c r="D179" s="49" t="str">
        <f>CONCATENATE("0-",VLOOKUP(CONCATENATE(VLOOKUP(A179,TEAMS,2,FALSE),TEXT(B179,"00")),PLAYERS,$D$1,FALSE),IF(VLOOKUP(CONCATENATE(VLOOKUP(A179,TEAMS,2,FALSE),TEXT(B179,"00")),PLAYERS,$D$1+1,FALSE)="BG"," *",""))</f>
        <v>0-4</v>
      </c>
      <c r="E179" s="50" t="str">
        <f>VLOOKUP(CONCATENATE(VLOOKUP(A179,TEAMS,2,FALSE),TEXT($B179,"00")),PLAYERS,E$1,FALSE)</f>
        <v>Pestigor</v>
      </c>
      <c r="F179" s="48">
        <f>VLOOKUP(CONCATENATE(VLOOKUP(A179,TEAMS,2,FALSE),TEXT($B179,"00")),PLAYERS,F$1,FALSE)</f>
        <v>6</v>
      </c>
      <c r="G179" s="48">
        <f>VLOOKUP(CONCATENATE(VLOOKUP(A179,TEAMS,2,FALSE),TEXT($B179,"00")),PLAYERS,G$1,FALSE)</f>
        <v>3</v>
      </c>
      <c r="H179" s="48" t="str">
        <f>CONCATENATE(VLOOKUP(CONCATENATE(VLOOKUP(A179,TEAMS,2,FALSE),TEXT($B179,"00")),PLAYERS,H$1,FALSE),"+")</f>
        <v>3+</v>
      </c>
      <c r="I179" s="48" t="str">
        <f>CONCATENATE(VLOOKUP(CONCATENATE(VLOOKUP(A179,TEAMS,2,FALSE),TEXT($B179,"00")),PLAYERS,I$1,FALSE),IF(VLOOKUP(CONCATENATE(VLOOKUP(A179,TEAMS,2,FALSE),TEXT($B179,"00")),PLAYERS,I$1,FALSE)="-","","+"))</f>
        <v>4+</v>
      </c>
      <c r="J179" s="48" t="str">
        <f>CONCATENATE(VLOOKUP(CONCATENATE(VLOOKUP(A179,TEAMS,2,FALSE),TEXT($B179,"00")),PLAYERS,J$1,FALSE),"+")</f>
        <v>9+</v>
      </c>
      <c r="K179" s="50" t="str">
        <f>VLOOKUP(CONCATENATE(VLOOKUP(A179,TEAMS,2,FALSE),TEXT($B179,"00")),PLAYERS,K$1,FALSE)</f>
        <v>Horns, Plague Ridden, Regeneration</v>
      </c>
      <c r="L179" s="49" t="str">
        <f>VLOOKUP(CONCATENATE(VLOOKUP(A179,TEAMS,2,FALSE),TEXT($B179,"00")),PLAYERS,L$1,FALSE)</f>
        <v>GMS</v>
      </c>
      <c r="M179" s="49" t="str">
        <f>VLOOKUP(CONCATENATE(VLOOKUP(A179,TEAMS,2,FALSE),TEXT($B179,"00")),PLAYERS,M$1,FALSE)</f>
        <v>AP</v>
      </c>
      <c r="N179" s="48" t="str">
        <f>CONCATENATE(ABS(VLOOKUP(CONCATENATE(VLOOKUP(A179,TEAMS,2,FALSE),TEXT(B179,"00")),PLAYERS,5,FALSE)),"k")</f>
        <v>75k</v>
      </c>
    </row>
    <row r="180" spans="1:14" ht="30" x14ac:dyDescent="0.25">
      <c r="A180" s="6" t="s">
        <v>92</v>
      </c>
      <c r="B180" s="6">
        <v>3</v>
      </c>
      <c r="D180" s="49" t="str">
        <f>CONCATENATE("0-",VLOOKUP(CONCATENATE(VLOOKUP(A180,TEAMS,2,FALSE),TEXT(B180,"00")),PLAYERS,$D$1,FALSE),IF(VLOOKUP(CONCATENATE(VLOOKUP(A180,TEAMS,2,FALSE),TEXT(B180,"00")),PLAYERS,$D$1+1,FALSE)="BG"," *",""))</f>
        <v>0-4</v>
      </c>
      <c r="E180" s="50" t="str">
        <f>VLOOKUP(CONCATENATE(VLOOKUP(A180,TEAMS,2,FALSE),TEXT($B180,"00")),PLAYERS,E$1,FALSE)</f>
        <v>Bloater</v>
      </c>
      <c r="F180" s="48">
        <f>VLOOKUP(CONCATENATE(VLOOKUP(A180,TEAMS,2,FALSE),TEXT($B180,"00")),PLAYERS,F$1,FALSE)</f>
        <v>4</v>
      </c>
      <c r="G180" s="48">
        <f>VLOOKUP(CONCATENATE(VLOOKUP(A180,TEAMS,2,FALSE),TEXT($B180,"00")),PLAYERS,G$1,FALSE)</f>
        <v>4</v>
      </c>
      <c r="H180" s="48" t="str">
        <f>CONCATENATE(VLOOKUP(CONCATENATE(VLOOKUP(A180,TEAMS,2,FALSE),TEXT($B180,"00")),PLAYERS,H$1,FALSE),"+")</f>
        <v>4+</v>
      </c>
      <c r="I180" s="48" t="str">
        <f>CONCATENATE(VLOOKUP(CONCATENATE(VLOOKUP(A180,TEAMS,2,FALSE),TEXT($B180,"00")),PLAYERS,I$1,FALSE),IF(VLOOKUP(CONCATENATE(VLOOKUP(A180,TEAMS,2,FALSE),TEXT($B180,"00")),PLAYERS,I$1,FALSE)="-","","+"))</f>
        <v>6+</v>
      </c>
      <c r="J180" s="48" t="str">
        <f>CONCATENATE(VLOOKUP(CONCATENATE(VLOOKUP(A180,TEAMS,2,FALSE),TEXT($B180,"00")),PLAYERS,J$1,FALSE),"+")</f>
        <v>10+</v>
      </c>
      <c r="K180" s="50" t="str">
        <f>VLOOKUP(CONCATENATE(VLOOKUP(A180,TEAMS,2,FALSE),TEXT($B180,"00")),PLAYERS,K$1,FALSE)</f>
        <v>Disturbing Presence*, Foul Appearance*, Plague Ridden, Regeneration</v>
      </c>
      <c r="L180" s="49" t="str">
        <f>VLOOKUP(CONCATENATE(VLOOKUP(A180,TEAMS,2,FALSE),TEXT($B180,"00")),PLAYERS,L$1,FALSE)</f>
        <v>GMS</v>
      </c>
      <c r="M180" s="49" t="str">
        <f>VLOOKUP(CONCATENATE(VLOOKUP(A180,TEAMS,2,FALSE),TEXT($B180,"00")),PLAYERS,M$1,FALSE)</f>
        <v>A</v>
      </c>
      <c r="N180" s="48" t="str">
        <f>CONCATENATE(ABS(VLOOKUP(CONCATENATE(VLOOKUP(A180,TEAMS,2,FALSE),TEXT(B180,"00")),PLAYERS,5,FALSE)),"k")</f>
        <v>115k</v>
      </c>
    </row>
    <row r="181" spans="1:14" ht="45" x14ac:dyDescent="0.25">
      <c r="A181" s="6" t="s">
        <v>92</v>
      </c>
      <c r="B181" s="6">
        <v>4</v>
      </c>
      <c r="D181" s="49" t="str">
        <f>CONCATENATE("0-",VLOOKUP(CONCATENATE(VLOOKUP(A181,TEAMS,2,FALSE),TEXT(B181,"00")),PLAYERS,$D$1,FALSE),IF(VLOOKUP(CONCATENATE(VLOOKUP(A181,TEAMS,2,FALSE),TEXT(B181,"00")),PLAYERS,$D$1+1,FALSE)="BG"," *",""))</f>
        <v>0-1</v>
      </c>
      <c r="E181" s="50" t="str">
        <f>VLOOKUP(CONCATENATE(VLOOKUP(A181,TEAMS,2,FALSE),TEXT($B181,"00")),PLAYERS,E$1,FALSE)</f>
        <v>Rotspawn</v>
      </c>
      <c r="F181" s="48">
        <f>VLOOKUP(CONCATENATE(VLOOKUP(A181,TEAMS,2,FALSE),TEXT($B181,"00")),PLAYERS,F$1,FALSE)</f>
        <v>4</v>
      </c>
      <c r="G181" s="48">
        <f>VLOOKUP(CONCATENATE(VLOOKUP(A181,TEAMS,2,FALSE),TEXT($B181,"00")),PLAYERS,G$1,FALSE)</f>
        <v>5</v>
      </c>
      <c r="H181" s="48" t="str">
        <f>CONCATENATE(VLOOKUP(CONCATENATE(VLOOKUP(A181,TEAMS,2,FALSE),TEXT($B181,"00")),PLAYERS,H$1,FALSE),"+")</f>
        <v>5+</v>
      </c>
      <c r="I181" s="48" t="str">
        <f>CONCATENATE(VLOOKUP(CONCATENATE(VLOOKUP(A181,TEAMS,2,FALSE),TEXT($B181,"00")),PLAYERS,I$1,FALSE),IF(VLOOKUP(CONCATENATE(VLOOKUP(A181,TEAMS,2,FALSE),TEXT($B181,"00")),PLAYERS,I$1,FALSE)="-","","+"))</f>
        <v>-</v>
      </c>
      <c r="J181" s="48" t="str">
        <f>CONCATENATE(VLOOKUP(CONCATENATE(VLOOKUP(A181,TEAMS,2,FALSE),TEXT($B181,"00")),PLAYERS,J$1,FALSE),"+")</f>
        <v>10+</v>
      </c>
      <c r="K181" s="50" t="str">
        <f>VLOOKUP(CONCATENATE(VLOOKUP(A181,TEAMS,2,FALSE),TEXT($B181,"00")),PLAYERS,K$1,FALSE)</f>
        <v>Disturbing Presence*, Foul Appearance*, Loner (4+)*, Mighty Blow (+1), Plague Ridden, Really Stupid*, Regeneration, Tentacles</v>
      </c>
      <c r="L181" s="49" t="str">
        <f>VLOOKUP(CONCATENATE(VLOOKUP(A181,TEAMS,2,FALSE),TEXT($B181,"00")),PLAYERS,L$1,FALSE)</f>
        <v>S</v>
      </c>
      <c r="M181" s="49" t="str">
        <f>VLOOKUP(CONCATENATE(VLOOKUP(A181,TEAMS,2,FALSE),TEXT($B181,"00")),PLAYERS,M$1,FALSE)</f>
        <v>AGM</v>
      </c>
      <c r="N181" s="48" t="str">
        <f>CONCATENATE(ABS(VLOOKUP(CONCATENATE(VLOOKUP(A181,TEAMS,2,FALSE),TEXT(B181,"00")),PLAYERS,5,FALSE)),"k")</f>
        <v>140k</v>
      </c>
    </row>
    <row r="182" spans="1:14" x14ac:dyDescent="0.25">
      <c r="D182" s="17" t="s">
        <v>580</v>
      </c>
      <c r="E182" s="17" t="str">
        <f>CONCATENATE(VLOOKUP(A176,TEAMS,5,FALSE),"k")</f>
        <v>70k</v>
      </c>
      <c r="F182" s="364" t="s">
        <v>584</v>
      </c>
      <c r="G182" s="369"/>
      <c r="H182" s="369"/>
      <c r="I182" s="365"/>
      <c r="J182" s="48" t="str">
        <f>VLOOKUP(A176,TEAMS,6,FALSE)</f>
        <v>No</v>
      </c>
      <c r="K182" s="366" t="s">
        <v>585</v>
      </c>
      <c r="L182" s="367"/>
      <c r="M182" s="368"/>
      <c r="N182" s="51">
        <f>VLOOKUP(A176,TEAMS,8,FALSE)</f>
        <v>5</v>
      </c>
    </row>
    <row r="183" spans="1:14" ht="15" customHeight="1" x14ac:dyDescent="0.25">
      <c r="D183" s="364" t="s">
        <v>586</v>
      </c>
      <c r="E183" s="365"/>
      <c r="F183" s="360" t="str">
        <f>IFERROR(VLOOKUP(LEFT(VLOOKUP(A177,TEAMS,7,FALSE),3),SpecialRules,3,FALSE) &amp; VLOOKUP(MID(VLOOKUP(A177,TEAMS,7,FALSE),4,3),SpecialRules,3,FALSE),"")</f>
        <v>This team may not hire an Apothecary, but is allowed to induce a Plague Doctor.</v>
      </c>
      <c r="G183" s="360"/>
      <c r="H183" s="360"/>
      <c r="I183" s="360"/>
      <c r="J183" s="360"/>
      <c r="K183" s="360"/>
      <c r="L183" s="360"/>
      <c r="M183" s="360"/>
      <c r="N183" s="360"/>
    </row>
    <row r="184" spans="1:14" x14ac:dyDescent="0.25">
      <c r="D184" s="362"/>
      <c r="E184" s="362"/>
      <c r="F184" s="362"/>
      <c r="G184" s="362"/>
      <c r="H184" s="362"/>
      <c r="I184" s="362"/>
      <c r="J184" s="362"/>
      <c r="K184" s="362"/>
      <c r="L184" s="362"/>
      <c r="M184" s="362"/>
      <c r="N184" s="362"/>
    </row>
    <row r="185" spans="1:14" ht="21" x14ac:dyDescent="0.35">
      <c r="A185" s="6" t="s">
        <v>93</v>
      </c>
      <c r="B185" s="6">
        <v>3</v>
      </c>
      <c r="D185" s="354" t="str">
        <f>A185</f>
        <v>Ogre</v>
      </c>
      <c r="E185" s="355"/>
      <c r="F185" s="355"/>
      <c r="G185" s="355"/>
      <c r="H185" s="355"/>
      <c r="I185" s="355"/>
      <c r="J185" s="355"/>
      <c r="K185" s="355"/>
      <c r="L185" s="355"/>
      <c r="M185" s="355"/>
      <c r="N185" s="356"/>
    </row>
    <row r="186" spans="1:14" x14ac:dyDescent="0.25">
      <c r="A186" s="6" t="s">
        <v>93</v>
      </c>
      <c r="D186" s="17" t="s">
        <v>765</v>
      </c>
      <c r="E186" s="17" t="s">
        <v>3</v>
      </c>
      <c r="F186" s="48" t="s">
        <v>4</v>
      </c>
      <c r="G186" s="48" t="s">
        <v>5</v>
      </c>
      <c r="H186" s="48" t="s">
        <v>6</v>
      </c>
      <c r="I186" s="48" t="s">
        <v>7</v>
      </c>
      <c r="J186" s="48" t="s">
        <v>8</v>
      </c>
      <c r="K186" s="17" t="s">
        <v>566</v>
      </c>
      <c r="L186" s="17" t="s">
        <v>578</v>
      </c>
      <c r="M186" s="17" t="s">
        <v>579</v>
      </c>
      <c r="N186" s="51" t="s">
        <v>715</v>
      </c>
    </row>
    <row r="187" spans="1:14" x14ac:dyDescent="0.25">
      <c r="A187" s="6" t="s">
        <v>93</v>
      </c>
      <c r="B187" s="6">
        <v>1</v>
      </c>
      <c r="D187" s="49" t="str">
        <f>CONCATENATE("0-",VLOOKUP(CONCATENATE(VLOOKUP(A187,TEAMS,2,FALSE),TEXT(B187,"00")),PLAYERS,$D$1,FALSE),IF(VLOOKUP(CONCATENATE(VLOOKUP(A187,TEAMS,2,FALSE),TEXT(B187,"00")),PLAYERS,$D$1+1,FALSE)="BG"," *",""))</f>
        <v>0-16</v>
      </c>
      <c r="E187" s="50" t="str">
        <f>VLOOKUP(CONCATENATE(VLOOKUP(A187,TEAMS,2,FALSE),TEXT($B187,"00")),PLAYERS,E$1,FALSE)</f>
        <v>Gnoblar Lineman</v>
      </c>
      <c r="F187" s="48">
        <f>VLOOKUP(CONCATENATE(VLOOKUP(A187,TEAMS,2,FALSE),TEXT($B187,"00")),PLAYERS,F$1,FALSE)</f>
        <v>5</v>
      </c>
      <c r="G187" s="48">
        <f>VLOOKUP(CONCATENATE(VLOOKUP(A187,TEAMS,2,FALSE),TEXT($B187,"00")),PLAYERS,G$1,FALSE)</f>
        <v>1</v>
      </c>
      <c r="H187" s="48" t="str">
        <f>CONCATENATE(VLOOKUP(CONCATENATE(VLOOKUP(A187,TEAMS,2,FALSE),TEXT($B187,"00")),PLAYERS,H$1,FALSE),"+")</f>
        <v>3+</v>
      </c>
      <c r="I187" s="48" t="str">
        <f>CONCATENATE(VLOOKUP(CONCATENATE(VLOOKUP(A187,TEAMS,2,FALSE),TEXT($B187,"00")),PLAYERS,I$1,FALSE),IF(VLOOKUP(CONCATENATE(VLOOKUP(A187,TEAMS,2,FALSE),TEXT($B187,"00")),PLAYERS,I$1,FALSE)="-","","+"))</f>
        <v>5+</v>
      </c>
      <c r="J187" s="48" t="str">
        <f>CONCATENATE(VLOOKUP(CONCATENATE(VLOOKUP(A187,TEAMS,2,FALSE),TEXT($B187,"00")),PLAYERS,J$1,FALSE),"+")</f>
        <v>6+</v>
      </c>
      <c r="K187" s="50" t="str">
        <f>VLOOKUP(CONCATENATE(VLOOKUP(A187,TEAMS,2,FALSE),TEXT($B187,"00")),PLAYERS,K$1,FALSE)</f>
        <v>Dodge, Right Stuff*, Sidestep, Stunty*, Titchy*</v>
      </c>
      <c r="L187" s="49" t="str">
        <f>VLOOKUP(CONCATENATE(VLOOKUP(A187,TEAMS,2,FALSE),TEXT($B187,"00")),PLAYERS,L$1,FALSE)</f>
        <v>A</v>
      </c>
      <c r="M187" s="49" t="str">
        <f>VLOOKUP(CONCATENATE(VLOOKUP(A187,TEAMS,2,FALSE),TEXT($B187,"00")),PLAYERS,M$1,FALSE)</f>
        <v>G</v>
      </c>
      <c r="N187" s="48" t="str">
        <f>CONCATENATE(ABS(VLOOKUP(CONCATENATE(VLOOKUP(A187,TEAMS,2,FALSE),TEXT(B187,"00")),PLAYERS,5,FALSE)),"k")</f>
        <v>15k</v>
      </c>
    </row>
    <row r="188" spans="1:14" ht="30" x14ac:dyDescent="0.25">
      <c r="A188" s="6" t="s">
        <v>93</v>
      </c>
      <c r="B188" s="6">
        <v>2</v>
      </c>
      <c r="D188" s="49" t="str">
        <f>CONCATENATE("0-",VLOOKUP(CONCATENATE(VLOOKUP(A188,TEAMS,2,FALSE),TEXT(B188,"00")),PLAYERS,$D$1,FALSE),IF(VLOOKUP(CONCATENATE(VLOOKUP(A188,TEAMS,2,FALSE),TEXT(B188,"00")),PLAYERS,$D$1+1,FALSE)="BG"," *",""))</f>
        <v>0-1</v>
      </c>
      <c r="E188" s="50" t="str">
        <f>VLOOKUP(CONCATENATE(VLOOKUP(A188,TEAMS,2,FALSE),TEXT($B188,"00")),PLAYERS,E$1,FALSE)</f>
        <v>Ogre Runt Punter</v>
      </c>
      <c r="F188" s="48">
        <f>VLOOKUP(CONCATENATE(VLOOKUP(A188,TEAMS,2,FALSE),TEXT($B188,"00")),PLAYERS,F$1,FALSE)</f>
        <v>5</v>
      </c>
      <c r="G188" s="48">
        <f>VLOOKUP(CONCATENATE(VLOOKUP(A188,TEAMS,2,FALSE),TEXT($B188,"00")),PLAYERS,G$1,FALSE)</f>
        <v>5</v>
      </c>
      <c r="H188" s="48" t="str">
        <f>CONCATENATE(VLOOKUP(CONCATENATE(VLOOKUP(A188,TEAMS,2,FALSE),TEXT($B188,"00")),PLAYERS,H$1,FALSE),"+")</f>
        <v>4+</v>
      </c>
      <c r="I188" s="48" t="str">
        <f>CONCATENATE(VLOOKUP(CONCATENATE(VLOOKUP(A188,TEAMS,2,FALSE),TEXT($B188,"00")),PLAYERS,I$1,FALSE),IF(VLOOKUP(CONCATENATE(VLOOKUP(A188,TEAMS,2,FALSE),TEXT($B188,"00")),PLAYERS,I$1,FALSE)="-","","+"))</f>
        <v>4+</v>
      </c>
      <c r="J188" s="48" t="str">
        <f>CONCATENATE(VLOOKUP(CONCATENATE(VLOOKUP(A188,TEAMS,2,FALSE),TEXT($B188,"00")),PLAYERS,J$1,FALSE),"+")</f>
        <v>10+</v>
      </c>
      <c r="K188" s="50" t="str">
        <f>VLOOKUP(CONCATENATE(VLOOKUP(A188,TEAMS,2,FALSE),TEXT($B188,"00")),PLAYERS,K$1,FALSE)</f>
        <v>Bone Head*, Kick Team-mate, Mighty Blow (+1), Thick Skull</v>
      </c>
      <c r="L188" s="49" t="str">
        <f>VLOOKUP(CONCATENATE(VLOOKUP(A188,TEAMS,2,FALSE),TEXT($B188,"00")),PLAYERS,L$1,FALSE)</f>
        <v>PS</v>
      </c>
      <c r="M188" s="49" t="str">
        <f>VLOOKUP(CONCATENATE(VLOOKUP(A188,TEAMS,2,FALSE),TEXT($B188,"00")),PLAYERS,M$1,FALSE)</f>
        <v>AG</v>
      </c>
      <c r="N188" s="48" t="str">
        <f>CONCATENATE(ABS(VLOOKUP(CONCATENATE(VLOOKUP(A188,TEAMS,2,FALSE),TEXT(B188,"00")),PLAYERS,5,FALSE)),"k")</f>
        <v>145k</v>
      </c>
    </row>
    <row r="189" spans="1:14" ht="30" x14ac:dyDescent="0.25">
      <c r="A189" s="6" t="s">
        <v>93</v>
      </c>
      <c r="B189" s="6">
        <v>3</v>
      </c>
      <c r="D189" s="49" t="str">
        <f>CONCATENATE("0-",VLOOKUP(CONCATENATE(VLOOKUP(A189,TEAMS,2,FALSE),TEXT(B189,"00")),PLAYERS,$D$1,FALSE),IF(VLOOKUP(CONCATENATE(VLOOKUP(A189,TEAMS,2,FALSE),TEXT(B189,"00")),PLAYERS,$D$1+1,FALSE)="BG"," *",""))</f>
        <v>0-5</v>
      </c>
      <c r="E189" s="50" t="str">
        <f>VLOOKUP(CONCATENATE(VLOOKUP(A189,TEAMS,2,FALSE),TEXT($B189,"00")),PLAYERS,E$1,FALSE)</f>
        <v>Ogre Blocker</v>
      </c>
      <c r="F189" s="48">
        <f>VLOOKUP(CONCATENATE(VLOOKUP(A189,TEAMS,2,FALSE),TEXT($B189,"00")),PLAYERS,F$1,FALSE)</f>
        <v>5</v>
      </c>
      <c r="G189" s="48">
        <f>VLOOKUP(CONCATENATE(VLOOKUP(A189,TEAMS,2,FALSE),TEXT($B189,"00")),PLAYERS,G$1,FALSE)</f>
        <v>5</v>
      </c>
      <c r="H189" s="48" t="str">
        <f>CONCATENATE(VLOOKUP(CONCATENATE(VLOOKUP(A189,TEAMS,2,FALSE),TEXT($B189,"00")),PLAYERS,H$1,FALSE),"+")</f>
        <v>4+</v>
      </c>
      <c r="I189" s="48" t="str">
        <f>CONCATENATE(VLOOKUP(CONCATENATE(VLOOKUP(A189,TEAMS,2,FALSE),TEXT($B189,"00")),PLAYERS,I$1,FALSE),IF(VLOOKUP(CONCATENATE(VLOOKUP(A189,TEAMS,2,FALSE),TEXT($B189,"00")),PLAYERS,I$1,FALSE)="-","","+"))</f>
        <v>5+</v>
      </c>
      <c r="J189" s="48" t="str">
        <f>CONCATENATE(VLOOKUP(CONCATENATE(VLOOKUP(A189,TEAMS,2,FALSE),TEXT($B189,"00")),PLAYERS,J$1,FALSE),"+")</f>
        <v>10+</v>
      </c>
      <c r="K189" s="50" t="str">
        <f>VLOOKUP(CONCATENATE(VLOOKUP(A189,TEAMS,2,FALSE),TEXT($B189,"00")),PLAYERS,K$1,FALSE)</f>
        <v>Bone Head*, Mighty Blow (+1), Thick Skull, Throw Team-mate</v>
      </c>
      <c r="L189" s="49" t="str">
        <f>VLOOKUP(CONCATENATE(VLOOKUP(A189,TEAMS,2,FALSE),TEXT($B189,"00")),PLAYERS,L$1,FALSE)</f>
        <v>S</v>
      </c>
      <c r="M189" s="49" t="str">
        <f>VLOOKUP(CONCATENATE(VLOOKUP(A189,TEAMS,2,FALSE),TEXT($B189,"00")),PLAYERS,M$1,FALSE)</f>
        <v>AGP</v>
      </c>
      <c r="N189" s="48" t="str">
        <f>CONCATENATE(ABS(VLOOKUP(CONCATENATE(VLOOKUP(A189,TEAMS,2,FALSE),TEXT(B189,"00")),PLAYERS,5,FALSE)),"k")</f>
        <v>140k</v>
      </c>
    </row>
    <row r="190" spans="1:14" x14ac:dyDescent="0.25">
      <c r="D190" s="17" t="s">
        <v>580</v>
      </c>
      <c r="E190" s="17" t="str">
        <f>CONCATENATE(VLOOKUP(A185,TEAMS,5,FALSE),"k")</f>
        <v>70k</v>
      </c>
      <c r="F190" s="364" t="s">
        <v>584</v>
      </c>
      <c r="G190" s="369"/>
      <c r="H190" s="369"/>
      <c r="I190" s="365"/>
      <c r="J190" s="48" t="str">
        <f>VLOOKUP(A185,TEAMS,6,FALSE)</f>
        <v>Yes</v>
      </c>
      <c r="K190" s="366" t="s">
        <v>585</v>
      </c>
      <c r="L190" s="367"/>
      <c r="M190" s="368"/>
      <c r="N190" s="51">
        <f>VLOOKUP(A185,TEAMS,8,FALSE)</f>
        <v>6</v>
      </c>
    </row>
    <row r="191" spans="1:14" ht="34.9" customHeight="1" x14ac:dyDescent="0.25">
      <c r="D191" s="364" t="s">
        <v>586</v>
      </c>
      <c r="E191" s="365"/>
      <c r="F191" s="360" t="str">
        <f>IFERROR(VLOOKUP(LEFT(VLOOKUP(A185,TEAMS,7,FALSE),3),SpecialRules,3,FALSE) &amp; VLOOKUP(MID(VLOOKUP(A185,TEAMS,7,FALSE),4,3),SpecialRules,3,FALSE),"")</f>
        <v>In league play (but not in exhibition play), when calculating the Current Value of any permanently hired Lineman players on a team with this special rule, the Hiring Fee of that player is not included.</v>
      </c>
      <c r="G191" s="360"/>
      <c r="H191" s="360"/>
      <c r="I191" s="360"/>
      <c r="J191" s="360"/>
      <c r="K191" s="360"/>
      <c r="L191" s="360"/>
      <c r="M191" s="360"/>
      <c r="N191" s="360"/>
    </row>
    <row r="192" spans="1:14" x14ac:dyDescent="0.25">
      <c r="D192" s="362"/>
      <c r="E192" s="362"/>
      <c r="F192" s="362"/>
      <c r="G192" s="362"/>
      <c r="H192" s="362"/>
      <c r="I192" s="362"/>
      <c r="J192" s="362"/>
      <c r="K192" s="362"/>
      <c r="L192" s="362"/>
      <c r="M192" s="362"/>
      <c r="N192" s="362"/>
    </row>
    <row r="193" spans="1:14" ht="21" x14ac:dyDescent="0.35">
      <c r="A193" s="6" t="s">
        <v>95</v>
      </c>
      <c r="B193" s="6">
        <v>11</v>
      </c>
      <c r="D193" s="354" t="str">
        <f>A193</f>
        <v>Old World Alliance</v>
      </c>
      <c r="E193" s="355"/>
      <c r="F193" s="355"/>
      <c r="G193" s="355"/>
      <c r="H193" s="355"/>
      <c r="I193" s="355"/>
      <c r="J193" s="355"/>
      <c r="K193" s="355"/>
      <c r="L193" s="355"/>
      <c r="M193" s="355"/>
      <c r="N193" s="356"/>
    </row>
    <row r="194" spans="1:14" x14ac:dyDescent="0.25">
      <c r="A194" s="6" t="s">
        <v>95</v>
      </c>
      <c r="D194" s="17" t="s">
        <v>765</v>
      </c>
      <c r="E194" s="17" t="s">
        <v>3</v>
      </c>
      <c r="F194" s="48" t="s">
        <v>4</v>
      </c>
      <c r="G194" s="48" t="s">
        <v>5</v>
      </c>
      <c r="H194" s="48" t="s">
        <v>6</v>
      </c>
      <c r="I194" s="48" t="s">
        <v>7</v>
      </c>
      <c r="J194" s="48" t="s">
        <v>8</v>
      </c>
      <c r="K194" s="17" t="s">
        <v>566</v>
      </c>
      <c r="L194" s="17" t="s">
        <v>578</v>
      </c>
      <c r="M194" s="17" t="s">
        <v>579</v>
      </c>
      <c r="N194" s="51" t="s">
        <v>715</v>
      </c>
    </row>
    <row r="195" spans="1:14" ht="30" x14ac:dyDescent="0.25">
      <c r="A195" s="6" t="s">
        <v>95</v>
      </c>
      <c r="B195" s="6">
        <v>1</v>
      </c>
      <c r="D195" s="49" t="str">
        <f t="shared" ref="D195:D205" si="44">CONCATENATE("0-",VLOOKUP(CONCATENATE(VLOOKUP(A195,TEAMS,2,FALSE),TEXT(B195,"00")),PLAYERS,$D$1,FALSE),IF(VLOOKUP(CONCATENATE(VLOOKUP(A195,TEAMS,2,FALSE),TEXT(B195,"00")),PLAYERS,$D$1+1,FALSE)="BG"," *",""))</f>
        <v>0-12</v>
      </c>
      <c r="E195" s="50" t="str">
        <f t="shared" ref="E195:E205" si="45">VLOOKUP(CONCATENATE(VLOOKUP(A195,TEAMS,2,FALSE),TEXT($B195,"00")),PLAYERS,E$1,FALSE)</f>
        <v>Old World Human Lineman</v>
      </c>
      <c r="F195" s="48">
        <f t="shared" ref="F195:F205" si="46">VLOOKUP(CONCATENATE(VLOOKUP(A195,TEAMS,2,FALSE),TEXT($B195,"00")),PLAYERS,F$1,FALSE)</f>
        <v>6</v>
      </c>
      <c r="G195" s="48">
        <f t="shared" ref="G195:G205" si="47">VLOOKUP(CONCATENATE(VLOOKUP(A195,TEAMS,2,FALSE),TEXT($B195,"00")),PLAYERS,G$1,FALSE)</f>
        <v>3</v>
      </c>
      <c r="H195" s="48" t="str">
        <f t="shared" ref="H195:H205" si="48">CONCATENATE(VLOOKUP(CONCATENATE(VLOOKUP(A195,TEAMS,2,FALSE),TEXT($B195,"00")),PLAYERS,H$1,FALSE),"+")</f>
        <v>3+</v>
      </c>
      <c r="I195" s="48" t="str">
        <f t="shared" ref="I195:I205" si="49">CONCATENATE(VLOOKUP(CONCATENATE(VLOOKUP(A195,TEAMS,2,FALSE),TEXT($B195,"00")),PLAYERS,I$1,FALSE),IF(VLOOKUP(CONCATENATE(VLOOKUP(A195,TEAMS,2,FALSE),TEXT($B195,"00")),PLAYERS,I$1,FALSE)="-","","+"))</f>
        <v>4+</v>
      </c>
      <c r="J195" s="48" t="str">
        <f t="shared" ref="J195:J205" si="50">CONCATENATE(VLOOKUP(CONCATENATE(VLOOKUP(A195,TEAMS,2,FALSE),TEXT($B195,"00")),PLAYERS,J$1,FALSE),"+")</f>
        <v>9+</v>
      </c>
      <c r="K195" s="50" t="str">
        <f t="shared" ref="K195:K205" si="51">VLOOKUP(CONCATENATE(VLOOKUP(A195,TEAMS,2,FALSE),TEXT($B195,"00")),PLAYERS,K$1,FALSE)</f>
        <v>None</v>
      </c>
      <c r="L195" s="49" t="str">
        <f t="shared" ref="L195:L205" si="52">VLOOKUP(CONCATENATE(VLOOKUP(A195,TEAMS,2,FALSE),TEXT($B195,"00")),PLAYERS,L$1,FALSE)</f>
        <v>G</v>
      </c>
      <c r="M195" s="49" t="str">
        <f t="shared" ref="M195:M205" si="53">VLOOKUP(CONCATENATE(VLOOKUP(A195,TEAMS,2,FALSE),TEXT($B195,"00")),PLAYERS,M$1,FALSE)</f>
        <v>AS</v>
      </c>
      <c r="N195" s="48" t="str">
        <f t="shared" ref="N195:N205" si="54">CONCATENATE(ABS(VLOOKUP(CONCATENATE(VLOOKUP(A195,TEAMS,2,FALSE),TEXT(B195,"00")),PLAYERS,5,FALSE)),"k")</f>
        <v>50k</v>
      </c>
    </row>
    <row r="196" spans="1:14" ht="30" x14ac:dyDescent="0.25">
      <c r="A196" s="6" t="s">
        <v>95</v>
      </c>
      <c r="B196" s="6">
        <v>2</v>
      </c>
      <c r="D196" s="49" t="str">
        <f t="shared" si="44"/>
        <v>0-1</v>
      </c>
      <c r="E196" s="50" t="str">
        <f t="shared" si="45"/>
        <v>Old World Human Thrower</v>
      </c>
      <c r="F196" s="48">
        <f t="shared" si="46"/>
        <v>6</v>
      </c>
      <c r="G196" s="48">
        <f t="shared" si="47"/>
        <v>3</v>
      </c>
      <c r="H196" s="48" t="str">
        <f t="shared" si="48"/>
        <v>3+</v>
      </c>
      <c r="I196" s="48" t="str">
        <f t="shared" si="49"/>
        <v>3+</v>
      </c>
      <c r="J196" s="48" t="str">
        <f t="shared" si="50"/>
        <v>9+</v>
      </c>
      <c r="K196" s="50" t="str">
        <f t="shared" si="51"/>
        <v>Animosity (DW, HA)*, Pass, Sure Hands</v>
      </c>
      <c r="L196" s="49" t="str">
        <f t="shared" si="52"/>
        <v>GP</v>
      </c>
      <c r="M196" s="49" t="str">
        <f t="shared" si="53"/>
        <v>AS</v>
      </c>
      <c r="N196" s="48" t="str">
        <f t="shared" si="54"/>
        <v>80k</v>
      </c>
    </row>
    <row r="197" spans="1:14" x14ac:dyDescent="0.25">
      <c r="A197" s="6" t="s">
        <v>95</v>
      </c>
      <c r="B197" s="6">
        <v>3</v>
      </c>
      <c r="D197" s="49" t="str">
        <f t="shared" si="44"/>
        <v>0-1</v>
      </c>
      <c r="E197" s="50" t="str">
        <f t="shared" si="45"/>
        <v>Old World Human Catcher</v>
      </c>
      <c r="F197" s="48">
        <f t="shared" si="46"/>
        <v>8</v>
      </c>
      <c r="G197" s="48">
        <f t="shared" si="47"/>
        <v>2</v>
      </c>
      <c r="H197" s="48" t="str">
        <f t="shared" si="48"/>
        <v>3+</v>
      </c>
      <c r="I197" s="48" t="str">
        <f t="shared" si="49"/>
        <v>5+</v>
      </c>
      <c r="J197" s="48" t="str">
        <f t="shared" si="50"/>
        <v>8+</v>
      </c>
      <c r="K197" s="50" t="str">
        <f t="shared" si="51"/>
        <v>Animosity (DW, HA)*, Catch, Dodge</v>
      </c>
      <c r="L197" s="49" t="str">
        <f t="shared" si="52"/>
        <v>AG</v>
      </c>
      <c r="M197" s="49" t="str">
        <f t="shared" si="53"/>
        <v>S</v>
      </c>
      <c r="N197" s="48" t="str">
        <f t="shared" si="54"/>
        <v>65k</v>
      </c>
    </row>
    <row r="198" spans="1:14" ht="15.75" customHeight="1" x14ac:dyDescent="0.25">
      <c r="A198" s="6" t="s">
        <v>95</v>
      </c>
      <c r="B198" s="6">
        <v>4</v>
      </c>
      <c r="D198" s="49" t="str">
        <f t="shared" si="44"/>
        <v>0-1</v>
      </c>
      <c r="E198" s="50" t="str">
        <f t="shared" si="45"/>
        <v>Old World Human Blitzer</v>
      </c>
      <c r="F198" s="48">
        <f t="shared" si="46"/>
        <v>7</v>
      </c>
      <c r="G198" s="48">
        <f t="shared" si="47"/>
        <v>3</v>
      </c>
      <c r="H198" s="48" t="str">
        <f t="shared" si="48"/>
        <v>3+</v>
      </c>
      <c r="I198" s="48" t="str">
        <f t="shared" si="49"/>
        <v>4+</v>
      </c>
      <c r="J198" s="48" t="str">
        <f t="shared" si="50"/>
        <v>9+</v>
      </c>
      <c r="K198" s="50" t="str">
        <f t="shared" si="51"/>
        <v>Animosity (DW, HA)*, Block</v>
      </c>
      <c r="L198" s="49" t="str">
        <f t="shared" si="52"/>
        <v>GS</v>
      </c>
      <c r="M198" s="49" t="str">
        <f t="shared" si="53"/>
        <v>A</v>
      </c>
      <c r="N198" s="48" t="str">
        <f t="shared" si="54"/>
        <v>90k</v>
      </c>
    </row>
    <row r="199" spans="1:14" x14ac:dyDescent="0.25">
      <c r="A199" s="6" t="s">
        <v>95</v>
      </c>
      <c r="B199" s="6">
        <v>5</v>
      </c>
      <c r="D199" s="49" t="str">
        <f t="shared" si="44"/>
        <v>0-2</v>
      </c>
      <c r="E199" s="50" t="str">
        <f t="shared" si="45"/>
        <v>Old World Dwarf Blocker</v>
      </c>
      <c r="F199" s="48">
        <f t="shared" si="46"/>
        <v>4</v>
      </c>
      <c r="G199" s="48">
        <f t="shared" si="47"/>
        <v>3</v>
      </c>
      <c r="H199" s="48" t="str">
        <f t="shared" si="48"/>
        <v>4+</v>
      </c>
      <c r="I199" s="48" t="str">
        <f t="shared" si="49"/>
        <v>5+</v>
      </c>
      <c r="J199" s="48" t="str">
        <f t="shared" si="50"/>
        <v>10+</v>
      </c>
      <c r="K199" s="50" t="str">
        <f t="shared" si="51"/>
        <v>Arm Bar, Brawler, Loner (3+)*, Thick Skull</v>
      </c>
      <c r="L199" s="49" t="str">
        <f t="shared" si="52"/>
        <v>GS</v>
      </c>
      <c r="M199" s="49" t="str">
        <f t="shared" si="53"/>
        <v>A</v>
      </c>
      <c r="N199" s="48" t="str">
        <f t="shared" si="54"/>
        <v>75k</v>
      </c>
    </row>
    <row r="200" spans="1:14" x14ac:dyDescent="0.25">
      <c r="A200" s="6" t="s">
        <v>95</v>
      </c>
      <c r="B200" s="6">
        <v>6</v>
      </c>
      <c r="D200" s="49" t="str">
        <f t="shared" si="44"/>
        <v>0-1</v>
      </c>
      <c r="E200" s="50" t="str">
        <f t="shared" si="45"/>
        <v>Old World Dwarf Runner</v>
      </c>
      <c r="F200" s="48">
        <f t="shared" si="46"/>
        <v>6</v>
      </c>
      <c r="G200" s="48">
        <f t="shared" si="47"/>
        <v>3</v>
      </c>
      <c r="H200" s="48" t="str">
        <f t="shared" si="48"/>
        <v>3+</v>
      </c>
      <c r="I200" s="48" t="str">
        <f t="shared" si="49"/>
        <v>4+</v>
      </c>
      <c r="J200" s="48" t="str">
        <f t="shared" si="50"/>
        <v>9+</v>
      </c>
      <c r="K200" s="50" t="str">
        <f t="shared" si="51"/>
        <v>Loner (3+)*, Sure Hands, Thick Skull</v>
      </c>
      <c r="L200" s="49" t="str">
        <f t="shared" si="52"/>
        <v>GP</v>
      </c>
      <c r="M200" s="49" t="str">
        <f t="shared" si="53"/>
        <v>AS</v>
      </c>
      <c r="N200" s="48" t="str">
        <f t="shared" si="54"/>
        <v>85k</v>
      </c>
    </row>
    <row r="201" spans="1:14" x14ac:dyDescent="0.25">
      <c r="A201" s="6" t="s">
        <v>95</v>
      </c>
      <c r="B201" s="6">
        <v>7</v>
      </c>
      <c r="D201" s="49" t="str">
        <f t="shared" si="44"/>
        <v>0-1</v>
      </c>
      <c r="E201" s="50" t="str">
        <f t="shared" si="45"/>
        <v>Old World Dwarf Blitzer</v>
      </c>
      <c r="F201" s="48">
        <f t="shared" si="46"/>
        <v>5</v>
      </c>
      <c r="G201" s="48">
        <f t="shared" si="47"/>
        <v>3</v>
      </c>
      <c r="H201" s="48" t="str">
        <f t="shared" si="48"/>
        <v>3+</v>
      </c>
      <c r="I201" s="48" t="str">
        <f t="shared" si="49"/>
        <v>4+</v>
      </c>
      <c r="J201" s="48" t="str">
        <f t="shared" si="50"/>
        <v>10+</v>
      </c>
      <c r="K201" s="50" t="str">
        <f t="shared" si="51"/>
        <v>Block, Loner (3+)*, Thick Skull</v>
      </c>
      <c r="L201" s="49" t="str">
        <f t="shared" si="52"/>
        <v>GS</v>
      </c>
      <c r="M201" s="49" t="str">
        <f t="shared" si="53"/>
        <v>A</v>
      </c>
      <c r="N201" s="48" t="str">
        <f t="shared" si="54"/>
        <v>80k</v>
      </c>
    </row>
    <row r="202" spans="1:14" ht="30" x14ac:dyDescent="0.25">
      <c r="A202" s="6" t="s">
        <v>95</v>
      </c>
      <c r="B202" s="6">
        <v>8</v>
      </c>
      <c r="D202" s="49" t="str">
        <f t="shared" si="44"/>
        <v>0-1</v>
      </c>
      <c r="E202" s="50" t="str">
        <f t="shared" si="45"/>
        <v>Old World Dwarf Troll Slayer</v>
      </c>
      <c r="F202" s="48">
        <f t="shared" si="46"/>
        <v>5</v>
      </c>
      <c r="G202" s="48">
        <f t="shared" si="47"/>
        <v>3</v>
      </c>
      <c r="H202" s="48" t="str">
        <f t="shared" si="48"/>
        <v>4+</v>
      </c>
      <c r="I202" s="48" t="str">
        <f t="shared" si="49"/>
        <v>-</v>
      </c>
      <c r="J202" s="48" t="str">
        <f t="shared" si="50"/>
        <v>9+</v>
      </c>
      <c r="K202" s="50" t="str">
        <f t="shared" si="51"/>
        <v>Block, Dauntless, Frenzy*, Loner (3+)*, Thick Skull</v>
      </c>
      <c r="L202" s="49" t="str">
        <f t="shared" si="52"/>
        <v>GS</v>
      </c>
      <c r="M202" s="49" t="str">
        <f t="shared" si="53"/>
        <v>A</v>
      </c>
      <c r="N202" s="48" t="str">
        <f t="shared" si="54"/>
        <v>95k</v>
      </c>
    </row>
    <row r="203" spans="1:14" ht="30" x14ac:dyDescent="0.25">
      <c r="A203" s="6" t="s">
        <v>95</v>
      </c>
      <c r="B203" s="6">
        <v>9</v>
      </c>
      <c r="D203" s="49" t="str">
        <f t="shared" si="44"/>
        <v>0-2</v>
      </c>
      <c r="E203" s="50" t="str">
        <f t="shared" si="45"/>
        <v>Old World Halfling Hopeful</v>
      </c>
      <c r="F203" s="48">
        <f t="shared" si="46"/>
        <v>5</v>
      </c>
      <c r="G203" s="48">
        <f t="shared" si="47"/>
        <v>2</v>
      </c>
      <c r="H203" s="48" t="str">
        <f t="shared" si="48"/>
        <v>3+</v>
      </c>
      <c r="I203" s="48" t="str">
        <f t="shared" si="49"/>
        <v>4+</v>
      </c>
      <c r="J203" s="48" t="str">
        <f t="shared" si="50"/>
        <v>7+</v>
      </c>
      <c r="K203" s="50" t="str">
        <f t="shared" si="51"/>
        <v>Animosity (DW, HU)*, Dodge, Right Stuff*, Stunty*</v>
      </c>
      <c r="L203" s="49" t="str">
        <f t="shared" si="52"/>
        <v>A</v>
      </c>
      <c r="M203" s="49" t="str">
        <f t="shared" si="53"/>
        <v>GS</v>
      </c>
      <c r="N203" s="48" t="str">
        <f t="shared" si="54"/>
        <v>30k</v>
      </c>
    </row>
    <row r="204" spans="1:14" ht="30" x14ac:dyDescent="0.25">
      <c r="A204" s="6" t="s">
        <v>95</v>
      </c>
      <c r="B204" s="6">
        <v>10</v>
      </c>
      <c r="D204" s="49" t="str">
        <f t="shared" si="44"/>
        <v>0-1 *</v>
      </c>
      <c r="E204" s="50" t="str">
        <f t="shared" si="45"/>
        <v>Old World Ogre</v>
      </c>
      <c r="F204" s="48">
        <f t="shared" si="46"/>
        <v>5</v>
      </c>
      <c r="G204" s="48">
        <f t="shared" si="47"/>
        <v>5</v>
      </c>
      <c r="H204" s="48" t="str">
        <f t="shared" si="48"/>
        <v>4+</v>
      </c>
      <c r="I204" s="48" t="str">
        <f t="shared" si="49"/>
        <v>5+</v>
      </c>
      <c r="J204" s="48" t="str">
        <f t="shared" si="50"/>
        <v>10+</v>
      </c>
      <c r="K204" s="50" t="str">
        <f t="shared" si="51"/>
        <v>Bone Head*, Loner (4+)*, Mighty Blow (+1), Thick Skull, Throw Team-mate</v>
      </c>
      <c r="L204" s="49" t="str">
        <f t="shared" si="52"/>
        <v>S</v>
      </c>
      <c r="M204" s="49" t="str">
        <f t="shared" si="53"/>
        <v>AG</v>
      </c>
      <c r="N204" s="48" t="str">
        <f t="shared" si="54"/>
        <v>140k</v>
      </c>
    </row>
    <row r="205" spans="1:14" ht="45" x14ac:dyDescent="0.25">
      <c r="A205" s="6" t="s">
        <v>95</v>
      </c>
      <c r="B205" s="6">
        <v>11</v>
      </c>
      <c r="D205" s="49" t="str">
        <f t="shared" si="44"/>
        <v>0-1 *</v>
      </c>
      <c r="E205" s="50" t="str">
        <f t="shared" si="45"/>
        <v>Altern Forest Treeman °</v>
      </c>
      <c r="F205" s="48">
        <f t="shared" si="46"/>
        <v>2</v>
      </c>
      <c r="G205" s="48">
        <f t="shared" si="47"/>
        <v>6</v>
      </c>
      <c r="H205" s="48" t="str">
        <f t="shared" si="48"/>
        <v>5+</v>
      </c>
      <c r="I205" s="48" t="str">
        <f t="shared" si="49"/>
        <v>5+</v>
      </c>
      <c r="J205" s="48" t="str">
        <f t="shared" si="50"/>
        <v>11+</v>
      </c>
      <c r="K205" s="50" t="str">
        <f t="shared" si="51"/>
        <v>Loner (4+)*, Mighty Blow (+1), Stand Firm, Strong Arm, Take Root*, Thick Skull, Throw Team-mate, Timmm-ber!</v>
      </c>
      <c r="L205" s="49" t="str">
        <f t="shared" si="52"/>
        <v>S</v>
      </c>
      <c r="M205" s="49" t="str">
        <f t="shared" si="53"/>
        <v>AGP</v>
      </c>
      <c r="N205" s="48" t="str">
        <f t="shared" si="54"/>
        <v>120k</v>
      </c>
    </row>
    <row r="206" spans="1:14" x14ac:dyDescent="0.25">
      <c r="D206" s="17" t="s">
        <v>580</v>
      </c>
      <c r="E206" s="17" t="str">
        <f>CONCATENATE(VLOOKUP(A193,TEAMS,5,FALSE),"k")</f>
        <v>70k</v>
      </c>
      <c r="F206" s="364" t="s">
        <v>584</v>
      </c>
      <c r="G206" s="369"/>
      <c r="H206" s="369"/>
      <c r="I206" s="365"/>
      <c r="J206" s="48" t="str">
        <f>VLOOKUP(A193,TEAMS,6,FALSE)</f>
        <v>Yes</v>
      </c>
      <c r="K206" s="366" t="s">
        <v>585</v>
      </c>
      <c r="L206" s="367"/>
      <c r="M206" s="368"/>
      <c r="N206" s="51">
        <f>VLOOKUP(A193,TEAMS,8,FALSE)</f>
        <v>4</v>
      </c>
    </row>
    <row r="207" spans="1:14" ht="15" customHeight="1" x14ac:dyDescent="0.25">
      <c r="D207" s="364" t="s">
        <v>586</v>
      </c>
      <c r="E207" s="365"/>
      <c r="F207" s="360" t="str">
        <f>IFERROR(VLOOKUP(LEFT(VLOOKUP(A201,TEAMS,7,FALSE),3),SpecialRules,3,FALSE) &amp; VLOOKUP(MID(VLOOKUP(A201,TEAMS,7,FALSE),4,3),SpecialRules,3,FALSE),"")</f>
        <v/>
      </c>
      <c r="G207" s="360"/>
      <c r="H207" s="360"/>
      <c r="I207" s="360"/>
      <c r="J207" s="360"/>
      <c r="K207" s="360"/>
      <c r="L207" s="360"/>
      <c r="M207" s="360"/>
      <c r="N207" s="360"/>
    </row>
    <row r="208" spans="1:14" x14ac:dyDescent="0.25">
      <c r="D208" s="362" t="s">
        <v>588</v>
      </c>
      <c r="E208" s="362"/>
      <c r="F208" s="362"/>
      <c r="G208" s="362"/>
      <c r="H208" s="362"/>
      <c r="I208" s="362"/>
      <c r="J208" s="362"/>
      <c r="K208" s="362"/>
      <c r="L208" s="362"/>
      <c r="M208" s="362"/>
      <c r="N208" s="362"/>
    </row>
    <row r="209" spans="1:14" x14ac:dyDescent="0.25">
      <c r="D209" s="370"/>
      <c r="E209" s="370"/>
      <c r="F209" s="370"/>
      <c r="G209" s="370"/>
      <c r="H209" s="370"/>
      <c r="I209" s="370"/>
      <c r="J209" s="370"/>
      <c r="K209" s="370"/>
      <c r="L209" s="370"/>
      <c r="M209" s="370"/>
      <c r="N209" s="370"/>
    </row>
    <row r="210" spans="1:14" ht="21" x14ac:dyDescent="0.35">
      <c r="A210" s="6" t="s">
        <v>96</v>
      </c>
      <c r="B210" s="6">
        <v>6</v>
      </c>
      <c r="D210" s="354" t="str">
        <f>A210</f>
        <v>Orc</v>
      </c>
      <c r="E210" s="355"/>
      <c r="F210" s="355"/>
      <c r="G210" s="355"/>
      <c r="H210" s="355"/>
      <c r="I210" s="355"/>
      <c r="J210" s="355"/>
      <c r="K210" s="355"/>
      <c r="L210" s="355"/>
      <c r="M210" s="355"/>
      <c r="N210" s="356"/>
    </row>
    <row r="211" spans="1:14" x14ac:dyDescent="0.25">
      <c r="A211" s="6" t="s">
        <v>96</v>
      </c>
      <c r="D211" s="17" t="s">
        <v>765</v>
      </c>
      <c r="E211" s="17" t="s">
        <v>3</v>
      </c>
      <c r="F211" s="48" t="s">
        <v>4</v>
      </c>
      <c r="G211" s="48" t="s">
        <v>5</v>
      </c>
      <c r="H211" s="48" t="s">
        <v>6</v>
      </c>
      <c r="I211" s="48" t="s">
        <v>7</v>
      </c>
      <c r="J211" s="48" t="s">
        <v>8</v>
      </c>
      <c r="K211" s="17" t="s">
        <v>566</v>
      </c>
      <c r="L211" s="17" t="s">
        <v>578</v>
      </c>
      <c r="M211" s="17" t="s">
        <v>579</v>
      </c>
      <c r="N211" s="51" t="s">
        <v>715</v>
      </c>
    </row>
    <row r="212" spans="1:14" x14ac:dyDescent="0.25">
      <c r="A212" s="6" t="s">
        <v>96</v>
      </c>
      <c r="B212" s="6">
        <v>1</v>
      </c>
      <c r="D212" s="49" t="str">
        <f t="shared" ref="D212:D217" si="55">CONCATENATE("0-",VLOOKUP(CONCATENATE(VLOOKUP(A212,TEAMS,2,FALSE),TEXT(B212,"00")),PLAYERS,$D$1,FALSE),IF(VLOOKUP(CONCATENATE(VLOOKUP(A212,TEAMS,2,FALSE),TEXT(B212,"00")),PLAYERS,$D$1+1,FALSE)="BG"," *",""))</f>
        <v>0-16</v>
      </c>
      <c r="E212" s="50" t="str">
        <f t="shared" ref="E212:E217" si="56">VLOOKUP(CONCATENATE(VLOOKUP(A212,TEAMS,2,FALSE),TEXT($B212,"00")),PLAYERS,E$1,FALSE)</f>
        <v>Orc Lineman</v>
      </c>
      <c r="F212" s="48">
        <f t="shared" ref="F212:F217" si="57">VLOOKUP(CONCATENATE(VLOOKUP(A212,TEAMS,2,FALSE),TEXT($B212,"00")),PLAYERS,F$1,FALSE)</f>
        <v>5</v>
      </c>
      <c r="G212" s="48">
        <f t="shared" ref="G212:G217" si="58">VLOOKUP(CONCATENATE(VLOOKUP(A212,TEAMS,2,FALSE),TEXT($B212,"00")),PLAYERS,G$1,FALSE)</f>
        <v>3</v>
      </c>
      <c r="H212" s="48" t="str">
        <f t="shared" ref="H212:H217" si="59">CONCATENATE(VLOOKUP(CONCATENATE(VLOOKUP(A212,TEAMS,2,FALSE),TEXT($B212,"00")),PLAYERS,H$1,FALSE),"+")</f>
        <v>3+</v>
      </c>
      <c r="I212" s="48" t="str">
        <f t="shared" ref="I212:I217" si="60">CONCATENATE(VLOOKUP(CONCATENATE(VLOOKUP(A212,TEAMS,2,FALSE),TEXT($B212,"00")),PLAYERS,I$1,FALSE),IF(VLOOKUP(CONCATENATE(VLOOKUP(A212,TEAMS,2,FALSE),TEXT($B212,"00")),PLAYERS,I$1,FALSE)="-","","+"))</f>
        <v>4+</v>
      </c>
      <c r="J212" s="48" t="str">
        <f t="shared" ref="J212:J217" si="61">CONCATENATE(VLOOKUP(CONCATENATE(VLOOKUP(A212,TEAMS,2,FALSE),TEXT($B212,"00")),PLAYERS,J$1,FALSE),"+")</f>
        <v>10+</v>
      </c>
      <c r="K212" s="50" t="str">
        <f t="shared" ref="K212:K217" si="62">VLOOKUP(CONCATENATE(VLOOKUP(A212,TEAMS,2,FALSE),TEXT($B212,"00")),PLAYERS,K$1,FALSE)</f>
        <v>Animosity (LM)*</v>
      </c>
      <c r="L212" s="49" t="str">
        <f t="shared" ref="L212:L217" si="63">VLOOKUP(CONCATENATE(VLOOKUP(A212,TEAMS,2,FALSE),TEXT($B212,"00")),PLAYERS,L$1,FALSE)</f>
        <v>G</v>
      </c>
      <c r="M212" s="49" t="str">
        <f t="shared" ref="M212:M217" si="64">VLOOKUP(CONCATENATE(VLOOKUP(A212,TEAMS,2,FALSE),TEXT($B212,"00")),PLAYERS,M$1,FALSE)</f>
        <v>AS</v>
      </c>
      <c r="N212" s="48" t="str">
        <f t="shared" ref="N212:N217" si="65">CONCATENATE(ABS(VLOOKUP(CONCATENATE(VLOOKUP(A212,TEAMS,2,FALSE),TEXT(B212,"00")),PLAYERS,5,FALSE)),"k")</f>
        <v>50k</v>
      </c>
    </row>
    <row r="213" spans="1:14" x14ac:dyDescent="0.25">
      <c r="A213" s="6" t="s">
        <v>96</v>
      </c>
      <c r="B213" s="6">
        <v>2</v>
      </c>
      <c r="D213" s="49" t="str">
        <f t="shared" si="55"/>
        <v>0-2</v>
      </c>
      <c r="E213" s="50" t="str">
        <f t="shared" si="56"/>
        <v>Orc Thrower</v>
      </c>
      <c r="F213" s="48">
        <f t="shared" si="57"/>
        <v>5</v>
      </c>
      <c r="G213" s="48">
        <f t="shared" si="58"/>
        <v>3</v>
      </c>
      <c r="H213" s="48" t="str">
        <f t="shared" si="59"/>
        <v>3+</v>
      </c>
      <c r="I213" s="48" t="str">
        <f t="shared" si="60"/>
        <v>3+</v>
      </c>
      <c r="J213" s="48" t="str">
        <f t="shared" si="61"/>
        <v>9+</v>
      </c>
      <c r="K213" s="50" t="str">
        <f t="shared" si="62"/>
        <v>Animosity (all)*, Pass, Sure Hands</v>
      </c>
      <c r="L213" s="49" t="str">
        <f t="shared" si="63"/>
        <v>GP</v>
      </c>
      <c r="M213" s="49" t="str">
        <f t="shared" si="64"/>
        <v>AS</v>
      </c>
      <c r="N213" s="48" t="str">
        <f t="shared" si="65"/>
        <v>65k</v>
      </c>
    </row>
    <row r="214" spans="1:14" x14ac:dyDescent="0.25">
      <c r="A214" s="6" t="s">
        <v>96</v>
      </c>
      <c r="B214" s="6">
        <v>3</v>
      </c>
      <c r="D214" s="49" t="str">
        <f t="shared" si="55"/>
        <v>0-4</v>
      </c>
      <c r="E214" s="50" t="str">
        <f t="shared" si="56"/>
        <v>Orc Blitzer</v>
      </c>
      <c r="F214" s="48">
        <f t="shared" si="57"/>
        <v>6</v>
      </c>
      <c r="G214" s="48">
        <f t="shared" si="58"/>
        <v>3</v>
      </c>
      <c r="H214" s="48" t="str">
        <f t="shared" si="59"/>
        <v>3+</v>
      </c>
      <c r="I214" s="48" t="str">
        <f t="shared" si="60"/>
        <v>4+</v>
      </c>
      <c r="J214" s="48" t="str">
        <f t="shared" si="61"/>
        <v>10+</v>
      </c>
      <c r="K214" s="50" t="str">
        <f t="shared" si="62"/>
        <v>Animosity (all)*, Block</v>
      </c>
      <c r="L214" s="49" t="str">
        <f t="shared" si="63"/>
        <v>GS</v>
      </c>
      <c r="M214" s="49" t="str">
        <f t="shared" si="64"/>
        <v>AP</v>
      </c>
      <c r="N214" s="48" t="str">
        <f t="shared" si="65"/>
        <v>80k</v>
      </c>
    </row>
    <row r="215" spans="1:14" x14ac:dyDescent="0.25">
      <c r="A215" s="6" t="s">
        <v>96</v>
      </c>
      <c r="B215" s="6">
        <v>4</v>
      </c>
      <c r="D215" s="49" t="str">
        <f t="shared" si="55"/>
        <v>0-4</v>
      </c>
      <c r="E215" s="50" t="str">
        <f t="shared" si="56"/>
        <v>Big Un Blocker</v>
      </c>
      <c r="F215" s="48">
        <f t="shared" si="57"/>
        <v>5</v>
      </c>
      <c r="G215" s="48">
        <f t="shared" si="58"/>
        <v>4</v>
      </c>
      <c r="H215" s="48" t="str">
        <f t="shared" si="59"/>
        <v>4+</v>
      </c>
      <c r="I215" s="48" t="str">
        <f t="shared" si="60"/>
        <v>-</v>
      </c>
      <c r="J215" s="48" t="str">
        <f t="shared" si="61"/>
        <v>10+</v>
      </c>
      <c r="K215" s="50" t="str">
        <f t="shared" si="62"/>
        <v>Animosity (BU)*</v>
      </c>
      <c r="L215" s="49" t="str">
        <f t="shared" si="63"/>
        <v>GS</v>
      </c>
      <c r="M215" s="49" t="str">
        <f t="shared" si="64"/>
        <v>A</v>
      </c>
      <c r="N215" s="48" t="str">
        <f t="shared" si="65"/>
        <v>90k</v>
      </c>
    </row>
    <row r="216" spans="1:14" x14ac:dyDescent="0.25">
      <c r="A216" s="6" t="s">
        <v>96</v>
      </c>
      <c r="B216" s="6">
        <v>5</v>
      </c>
      <c r="D216" s="49" t="str">
        <f t="shared" si="55"/>
        <v>0-4</v>
      </c>
      <c r="E216" s="50" t="str">
        <f t="shared" si="56"/>
        <v>Goblin</v>
      </c>
      <c r="F216" s="48">
        <f t="shared" si="57"/>
        <v>6</v>
      </c>
      <c r="G216" s="48">
        <f t="shared" si="58"/>
        <v>2</v>
      </c>
      <c r="H216" s="48" t="str">
        <f t="shared" si="59"/>
        <v>3+</v>
      </c>
      <c r="I216" s="48" t="str">
        <f t="shared" si="60"/>
        <v>4+</v>
      </c>
      <c r="J216" s="48" t="str">
        <f t="shared" si="61"/>
        <v>8+</v>
      </c>
      <c r="K216" s="50" t="str">
        <f t="shared" si="62"/>
        <v>Dodge, Right Stuff*, Stunty*</v>
      </c>
      <c r="L216" s="49" t="str">
        <f t="shared" si="63"/>
        <v>A</v>
      </c>
      <c r="M216" s="49" t="str">
        <f t="shared" si="64"/>
        <v>GS</v>
      </c>
      <c r="N216" s="48" t="str">
        <f t="shared" si="65"/>
        <v>40k</v>
      </c>
    </row>
    <row r="217" spans="1:14" ht="45" x14ac:dyDescent="0.25">
      <c r="A217" s="6" t="s">
        <v>96</v>
      </c>
      <c r="B217" s="6">
        <v>6</v>
      </c>
      <c r="D217" s="49" t="str">
        <f t="shared" si="55"/>
        <v>0-1</v>
      </c>
      <c r="E217" s="50" t="str">
        <f t="shared" si="56"/>
        <v>Untrained Troll</v>
      </c>
      <c r="F217" s="48">
        <f t="shared" si="57"/>
        <v>4</v>
      </c>
      <c r="G217" s="48">
        <f t="shared" si="58"/>
        <v>5</v>
      </c>
      <c r="H217" s="48" t="str">
        <f t="shared" si="59"/>
        <v>5+</v>
      </c>
      <c r="I217" s="48" t="str">
        <f t="shared" si="60"/>
        <v>5+</v>
      </c>
      <c r="J217" s="48" t="str">
        <f t="shared" si="61"/>
        <v>10+</v>
      </c>
      <c r="K217" s="50" t="str">
        <f t="shared" si="62"/>
        <v>Always Hungry*, Loner (4+)*, Mighty Blow (+1), Projectile Vomit, Really Stupid*, Regeneration, Throw Team-mate</v>
      </c>
      <c r="L217" s="49" t="str">
        <f t="shared" si="63"/>
        <v>S</v>
      </c>
      <c r="M217" s="49" t="str">
        <f t="shared" si="64"/>
        <v>AGP</v>
      </c>
      <c r="N217" s="48" t="str">
        <f t="shared" si="65"/>
        <v>115k</v>
      </c>
    </row>
    <row r="218" spans="1:14" x14ac:dyDescent="0.25">
      <c r="D218" s="17" t="s">
        <v>580</v>
      </c>
      <c r="E218" s="17" t="str">
        <f>CONCATENATE(VLOOKUP(A210,TEAMS,5,FALSE),"k")</f>
        <v>60k</v>
      </c>
      <c r="F218" s="364" t="s">
        <v>584</v>
      </c>
      <c r="G218" s="369"/>
      <c r="H218" s="369"/>
      <c r="I218" s="365"/>
      <c r="J218" s="48" t="str">
        <f>VLOOKUP(A210,TEAMS,6,FALSE)</f>
        <v>Yes</v>
      </c>
      <c r="K218" s="366" t="s">
        <v>585</v>
      </c>
      <c r="L218" s="367"/>
      <c r="M218" s="368"/>
      <c r="N218" s="51">
        <f>VLOOKUP(A210,TEAMS,8,FALSE)</f>
        <v>2</v>
      </c>
    </row>
    <row r="219" spans="1:14" ht="15" customHeight="1" x14ac:dyDescent="0.25">
      <c r="D219" s="364" t="s">
        <v>586</v>
      </c>
      <c r="E219" s="365"/>
      <c r="F219" s="360" t="str">
        <f>IFERROR(VLOOKUP(LEFT(VLOOKUP(A213,TEAMS,7,FALSE),3),SpecialRules,3,FALSE) &amp; VLOOKUP(MID(VLOOKUP(A213,TEAMS,7,FALSE),4,3),SpecialRules,3,FALSE),"")</f>
        <v/>
      </c>
      <c r="G219" s="360"/>
      <c r="H219" s="360"/>
      <c r="I219" s="360"/>
      <c r="J219" s="360"/>
      <c r="K219" s="360"/>
      <c r="L219" s="360"/>
      <c r="M219" s="360"/>
      <c r="N219" s="360"/>
    </row>
    <row r="220" spans="1:14" x14ac:dyDescent="0.25">
      <c r="D220" s="362"/>
      <c r="E220" s="362"/>
      <c r="F220" s="362"/>
      <c r="G220" s="362"/>
      <c r="H220" s="362"/>
      <c r="I220" s="362"/>
      <c r="J220" s="362"/>
      <c r="K220" s="362"/>
      <c r="L220" s="362"/>
      <c r="M220" s="362"/>
      <c r="N220" s="362"/>
    </row>
    <row r="221" spans="1:14" ht="21" x14ac:dyDescent="0.35">
      <c r="A221" s="6" t="s">
        <v>99</v>
      </c>
      <c r="B221" s="6">
        <v>5</v>
      </c>
      <c r="D221" s="354" t="str">
        <f>A221</f>
        <v>Shambling Undead</v>
      </c>
      <c r="E221" s="355"/>
      <c r="F221" s="355"/>
      <c r="G221" s="355"/>
      <c r="H221" s="355"/>
      <c r="I221" s="355"/>
      <c r="J221" s="355"/>
      <c r="K221" s="355"/>
      <c r="L221" s="355"/>
      <c r="M221" s="355"/>
      <c r="N221" s="356"/>
    </row>
    <row r="222" spans="1:14" x14ac:dyDescent="0.25">
      <c r="A222" s="6" t="s">
        <v>99</v>
      </c>
      <c r="D222" s="17" t="s">
        <v>765</v>
      </c>
      <c r="E222" s="17" t="s">
        <v>3</v>
      </c>
      <c r="F222" s="48" t="s">
        <v>4</v>
      </c>
      <c r="G222" s="48" t="s">
        <v>5</v>
      </c>
      <c r="H222" s="48" t="s">
        <v>6</v>
      </c>
      <c r="I222" s="48" t="s">
        <v>7</v>
      </c>
      <c r="J222" s="48" t="s">
        <v>8</v>
      </c>
      <c r="K222" s="17" t="s">
        <v>566</v>
      </c>
      <c r="L222" s="17" t="s">
        <v>578</v>
      </c>
      <c r="M222" s="17" t="s">
        <v>579</v>
      </c>
      <c r="N222" s="51" t="s">
        <v>715</v>
      </c>
    </row>
    <row r="223" spans="1:14" x14ac:dyDescent="0.25">
      <c r="A223" s="6" t="s">
        <v>99</v>
      </c>
      <c r="B223" s="6">
        <v>1</v>
      </c>
      <c r="D223" s="49" t="str">
        <f>CONCATENATE("0-",VLOOKUP(CONCATENATE(VLOOKUP(A223,TEAMS,2,FALSE),TEXT(B223,"00")),PLAYERS,$D$1,FALSE),IF(VLOOKUP(CONCATENATE(VLOOKUP(A223,TEAMS,2,FALSE),TEXT(B223,"00")),PLAYERS,$D$1+1,FALSE)="BG"," *",""))</f>
        <v>0-12</v>
      </c>
      <c r="E223" s="50" t="str">
        <f>VLOOKUP(CONCATENATE(VLOOKUP(A223,TEAMS,2,FALSE),TEXT($B223,"00")),PLAYERS,E$1,FALSE)</f>
        <v>Skeleton Lineman</v>
      </c>
      <c r="F223" s="48">
        <f>VLOOKUP(CONCATENATE(VLOOKUP(A223,TEAMS,2,FALSE),TEXT($B223,"00")),PLAYERS,F$1,FALSE)</f>
        <v>5</v>
      </c>
      <c r="G223" s="48">
        <f>VLOOKUP(CONCATENATE(VLOOKUP(A223,TEAMS,2,FALSE),TEXT($B223,"00")),PLAYERS,G$1,FALSE)</f>
        <v>3</v>
      </c>
      <c r="H223" s="48" t="str">
        <f>CONCATENATE(VLOOKUP(CONCATENATE(VLOOKUP(A223,TEAMS,2,FALSE),TEXT($B223,"00")),PLAYERS,H$1,FALSE),"+")</f>
        <v>4+</v>
      </c>
      <c r="I223" s="48" t="str">
        <f>CONCATENATE(VLOOKUP(CONCATENATE(VLOOKUP(A223,TEAMS,2,FALSE),TEXT($B223,"00")),PLAYERS,I$1,FALSE),IF(VLOOKUP(CONCATENATE(VLOOKUP(A223,TEAMS,2,FALSE),TEXT($B223,"00")),PLAYERS,I$1,FALSE)="-","","+"))</f>
        <v>6+</v>
      </c>
      <c r="J223" s="48" t="str">
        <f>CONCATENATE(VLOOKUP(CONCATENATE(VLOOKUP(A223,TEAMS,2,FALSE),TEXT($B223,"00")),PLAYERS,J$1,FALSE),"+")</f>
        <v>8+</v>
      </c>
      <c r="K223" s="50" t="str">
        <f>VLOOKUP(CONCATENATE(VLOOKUP(A223,TEAMS,2,FALSE),TEXT($B223,"00")),PLAYERS,K$1,FALSE)</f>
        <v>Regeneration, Thick Skull</v>
      </c>
      <c r="L223" s="49" t="str">
        <f>VLOOKUP(CONCATENATE(VLOOKUP(A223,TEAMS,2,FALSE),TEXT($B223,"00")),PLAYERS,L$1,FALSE)</f>
        <v>G</v>
      </c>
      <c r="M223" s="49" t="str">
        <f>VLOOKUP(CONCATENATE(VLOOKUP(A223,TEAMS,2,FALSE),TEXT($B223,"00")),PLAYERS,M$1,FALSE)</f>
        <v>AS</v>
      </c>
      <c r="N223" s="48" t="str">
        <f>CONCATENATE(ABS(VLOOKUP(CONCATENATE(VLOOKUP(A223,TEAMS,2,FALSE),TEXT(B223,"00")),PLAYERS,5,FALSE)),"k")</f>
        <v>40k</v>
      </c>
    </row>
    <row r="224" spans="1:14" x14ac:dyDescent="0.25">
      <c r="A224" s="6" t="s">
        <v>99</v>
      </c>
      <c r="B224" s="6">
        <v>2</v>
      </c>
      <c r="D224" s="49" t="str">
        <f>CONCATENATE("0-",VLOOKUP(CONCATENATE(VLOOKUP(A224,TEAMS,2,FALSE),TEXT(B224,"00")),PLAYERS,$D$1,FALSE),IF(VLOOKUP(CONCATENATE(VLOOKUP(A224,TEAMS,2,FALSE),TEXT(B224,"00")),PLAYERS,$D$1+1,FALSE)="BG"," *",""))</f>
        <v>0-12</v>
      </c>
      <c r="E224" s="50" t="str">
        <f>VLOOKUP(CONCATENATE(VLOOKUP(A224,TEAMS,2,FALSE),TEXT($B224,"00")),PLAYERS,E$1,FALSE)</f>
        <v>Zombie Lineman</v>
      </c>
      <c r="F224" s="48">
        <f>VLOOKUP(CONCATENATE(VLOOKUP(A224,TEAMS,2,FALSE),TEXT($B224,"00")),PLAYERS,F$1,FALSE)</f>
        <v>4</v>
      </c>
      <c r="G224" s="48">
        <f>VLOOKUP(CONCATENATE(VLOOKUP(A224,TEAMS,2,FALSE),TEXT($B224,"00")),PLAYERS,G$1,FALSE)</f>
        <v>3</v>
      </c>
      <c r="H224" s="48" t="str">
        <f>CONCATENATE(VLOOKUP(CONCATENATE(VLOOKUP(A224,TEAMS,2,FALSE),TEXT($B224,"00")),PLAYERS,H$1,FALSE),"+")</f>
        <v>4+</v>
      </c>
      <c r="I224" s="48" t="str">
        <f>CONCATENATE(VLOOKUP(CONCATENATE(VLOOKUP(A224,TEAMS,2,FALSE),TEXT($B224,"00")),PLAYERS,I$1,FALSE),IF(VLOOKUP(CONCATENATE(VLOOKUP(A224,TEAMS,2,FALSE),TEXT($B224,"00")),PLAYERS,I$1,FALSE)="-","","+"))</f>
        <v>-</v>
      </c>
      <c r="J224" s="48" t="str">
        <f>CONCATENATE(VLOOKUP(CONCATENATE(VLOOKUP(A224,TEAMS,2,FALSE),TEXT($B224,"00")),PLAYERS,J$1,FALSE),"+")</f>
        <v>9+</v>
      </c>
      <c r="K224" s="50" t="str">
        <f>VLOOKUP(CONCATENATE(VLOOKUP(A224,TEAMS,2,FALSE),TEXT($B224,"00")),PLAYERS,K$1,FALSE)</f>
        <v>Regeneration</v>
      </c>
      <c r="L224" s="49" t="str">
        <f>VLOOKUP(CONCATENATE(VLOOKUP(A224,TEAMS,2,FALSE),TEXT($B224,"00")),PLAYERS,L$1,FALSE)</f>
        <v>G</v>
      </c>
      <c r="M224" s="49" t="str">
        <f>VLOOKUP(CONCATENATE(VLOOKUP(A224,TEAMS,2,FALSE),TEXT($B224,"00")),PLAYERS,M$1,FALSE)</f>
        <v>AS</v>
      </c>
      <c r="N224" s="48" t="str">
        <f>CONCATENATE(ABS(VLOOKUP(CONCATENATE(VLOOKUP(A224,TEAMS,2,FALSE),TEXT(B224,"00")),PLAYERS,5,FALSE)),"k")</f>
        <v>40k</v>
      </c>
    </row>
    <row r="225" spans="1:14" x14ac:dyDescent="0.25">
      <c r="A225" s="6" t="s">
        <v>99</v>
      </c>
      <c r="B225" s="6">
        <v>3</v>
      </c>
      <c r="D225" s="49" t="str">
        <f>CONCATENATE("0-",VLOOKUP(CONCATENATE(VLOOKUP(A225,TEAMS,2,FALSE),TEXT(B225,"00")),PLAYERS,$D$1,FALSE),IF(VLOOKUP(CONCATENATE(VLOOKUP(A225,TEAMS,2,FALSE),TEXT(B225,"00")),PLAYERS,$D$1+1,FALSE)="BG"," *",""))</f>
        <v>0-4</v>
      </c>
      <c r="E225" s="50" t="str">
        <f>VLOOKUP(CONCATENATE(VLOOKUP(A225,TEAMS,2,FALSE),TEXT($B225,"00")),PLAYERS,E$1,FALSE)</f>
        <v>Ghoul Runner</v>
      </c>
      <c r="F225" s="48">
        <f>VLOOKUP(CONCATENATE(VLOOKUP(A225,TEAMS,2,FALSE),TEXT($B225,"00")),PLAYERS,F$1,FALSE)</f>
        <v>7</v>
      </c>
      <c r="G225" s="48">
        <f>VLOOKUP(CONCATENATE(VLOOKUP(A225,TEAMS,2,FALSE),TEXT($B225,"00")),PLAYERS,G$1,FALSE)</f>
        <v>3</v>
      </c>
      <c r="H225" s="48" t="str">
        <f>CONCATENATE(VLOOKUP(CONCATENATE(VLOOKUP(A225,TEAMS,2,FALSE),TEXT($B225,"00")),PLAYERS,H$1,FALSE),"+")</f>
        <v>3+</v>
      </c>
      <c r="I225" s="48" t="str">
        <f>CONCATENATE(VLOOKUP(CONCATENATE(VLOOKUP(A225,TEAMS,2,FALSE),TEXT($B225,"00")),PLAYERS,I$1,FALSE),IF(VLOOKUP(CONCATENATE(VLOOKUP(A225,TEAMS,2,FALSE),TEXT($B225,"00")),PLAYERS,I$1,FALSE)="-","","+"))</f>
        <v>4+</v>
      </c>
      <c r="J225" s="48" t="str">
        <f>CONCATENATE(VLOOKUP(CONCATENATE(VLOOKUP(A225,TEAMS,2,FALSE),TEXT($B225,"00")),PLAYERS,J$1,FALSE),"+")</f>
        <v>8+</v>
      </c>
      <c r="K225" s="50" t="str">
        <f>VLOOKUP(CONCATENATE(VLOOKUP(A225,TEAMS,2,FALSE),TEXT($B225,"00")),PLAYERS,K$1,FALSE)</f>
        <v>Dodge</v>
      </c>
      <c r="L225" s="49" t="str">
        <f>VLOOKUP(CONCATENATE(VLOOKUP(A225,TEAMS,2,FALSE),TEXT($B225,"00")),PLAYERS,L$1,FALSE)</f>
        <v>AG</v>
      </c>
      <c r="M225" s="49" t="str">
        <f>VLOOKUP(CONCATENATE(VLOOKUP(A225,TEAMS,2,FALSE),TEXT($B225,"00")),PLAYERS,M$1,FALSE)</f>
        <v>PS</v>
      </c>
      <c r="N225" s="48" t="str">
        <f>CONCATENATE(ABS(VLOOKUP(CONCATENATE(VLOOKUP(A225,TEAMS,2,FALSE),TEXT(B225,"00")),PLAYERS,5,FALSE)),"k")</f>
        <v>75k</v>
      </c>
    </row>
    <row r="226" spans="1:14" x14ac:dyDescent="0.25">
      <c r="A226" s="6" t="s">
        <v>99</v>
      </c>
      <c r="B226" s="6">
        <v>4</v>
      </c>
      <c r="D226" s="49" t="str">
        <f>CONCATENATE("0-",VLOOKUP(CONCATENATE(VLOOKUP(A226,TEAMS,2,FALSE),TEXT(B226,"00")),PLAYERS,$D$1,FALSE),IF(VLOOKUP(CONCATENATE(VLOOKUP(A226,TEAMS,2,FALSE),TEXT(B226,"00")),PLAYERS,$D$1+1,FALSE)="BG"," *",""))</f>
        <v>0-2</v>
      </c>
      <c r="E226" s="50" t="str">
        <f>VLOOKUP(CONCATENATE(VLOOKUP(A226,TEAMS,2,FALSE),TEXT($B226,"00")),PLAYERS,E$1,FALSE)</f>
        <v>Wight Blitzer</v>
      </c>
      <c r="F226" s="48">
        <f>VLOOKUP(CONCATENATE(VLOOKUP(A226,TEAMS,2,FALSE),TEXT($B226,"00")),PLAYERS,F$1,FALSE)</f>
        <v>6</v>
      </c>
      <c r="G226" s="48">
        <f>VLOOKUP(CONCATENATE(VLOOKUP(A226,TEAMS,2,FALSE),TEXT($B226,"00")),PLAYERS,G$1,FALSE)</f>
        <v>3</v>
      </c>
      <c r="H226" s="48" t="str">
        <f>CONCATENATE(VLOOKUP(CONCATENATE(VLOOKUP(A226,TEAMS,2,FALSE),TEXT($B226,"00")),PLAYERS,H$1,FALSE),"+")</f>
        <v>3+</v>
      </c>
      <c r="I226" s="48" t="str">
        <f>CONCATENATE(VLOOKUP(CONCATENATE(VLOOKUP(A226,TEAMS,2,FALSE),TEXT($B226,"00")),PLAYERS,I$1,FALSE),IF(VLOOKUP(CONCATENATE(VLOOKUP(A226,TEAMS,2,FALSE),TEXT($B226,"00")),PLAYERS,I$1,FALSE)="-","","+"))</f>
        <v>5+</v>
      </c>
      <c r="J226" s="48" t="str">
        <f>CONCATENATE(VLOOKUP(CONCATENATE(VLOOKUP(A226,TEAMS,2,FALSE),TEXT($B226,"00")),PLAYERS,J$1,FALSE),"+")</f>
        <v>9+</v>
      </c>
      <c r="K226" s="50" t="str">
        <f>VLOOKUP(CONCATENATE(VLOOKUP(A226,TEAMS,2,FALSE),TEXT($B226,"00")),PLAYERS,K$1,FALSE)</f>
        <v>Block, Regeneration</v>
      </c>
      <c r="L226" s="49" t="str">
        <f>VLOOKUP(CONCATENATE(VLOOKUP(A226,TEAMS,2,FALSE),TEXT($B226,"00")),PLAYERS,L$1,FALSE)</f>
        <v>GS</v>
      </c>
      <c r="M226" s="49" t="str">
        <f>VLOOKUP(CONCATENATE(VLOOKUP(A226,TEAMS,2,FALSE),TEXT($B226,"00")),PLAYERS,M$1,FALSE)</f>
        <v>AP</v>
      </c>
      <c r="N226" s="48" t="str">
        <f>CONCATENATE(ABS(VLOOKUP(CONCATENATE(VLOOKUP(A226,TEAMS,2,FALSE),TEXT(B226,"00")),PLAYERS,5,FALSE)),"k")</f>
        <v>90k</v>
      </c>
    </row>
    <row r="227" spans="1:14" x14ac:dyDescent="0.25">
      <c r="A227" s="6" t="s">
        <v>99</v>
      </c>
      <c r="B227" s="6">
        <v>5</v>
      </c>
      <c r="D227" s="49" t="str">
        <f>CONCATENATE("0-",VLOOKUP(CONCATENATE(VLOOKUP(A227,TEAMS,2,FALSE),TEXT(B227,"00")),PLAYERS,$D$1,FALSE),IF(VLOOKUP(CONCATENATE(VLOOKUP(A227,TEAMS,2,FALSE),TEXT(B227,"00")),PLAYERS,$D$1+1,FALSE)="BG"," *",""))</f>
        <v>0-2</v>
      </c>
      <c r="E227" s="50" t="str">
        <f>VLOOKUP(CONCATENATE(VLOOKUP(A227,TEAMS,2,FALSE),TEXT($B227,"00")),PLAYERS,E$1,FALSE)</f>
        <v>Mummy</v>
      </c>
      <c r="F227" s="48">
        <f>VLOOKUP(CONCATENATE(VLOOKUP(A227,TEAMS,2,FALSE),TEXT($B227,"00")),PLAYERS,F$1,FALSE)</f>
        <v>3</v>
      </c>
      <c r="G227" s="48">
        <f>VLOOKUP(CONCATENATE(VLOOKUP(A227,TEAMS,2,FALSE),TEXT($B227,"00")),PLAYERS,G$1,FALSE)</f>
        <v>5</v>
      </c>
      <c r="H227" s="48" t="str">
        <f>CONCATENATE(VLOOKUP(CONCATENATE(VLOOKUP(A227,TEAMS,2,FALSE),TEXT($B227,"00")),PLAYERS,H$1,FALSE),"+")</f>
        <v>5+</v>
      </c>
      <c r="I227" s="48" t="str">
        <f>CONCATENATE(VLOOKUP(CONCATENATE(VLOOKUP(A227,TEAMS,2,FALSE),TEXT($B227,"00")),PLAYERS,I$1,FALSE),IF(VLOOKUP(CONCATENATE(VLOOKUP(A227,TEAMS,2,FALSE),TEXT($B227,"00")),PLAYERS,I$1,FALSE)="-","","+"))</f>
        <v>-</v>
      </c>
      <c r="J227" s="48" t="str">
        <f>CONCATENATE(VLOOKUP(CONCATENATE(VLOOKUP(A227,TEAMS,2,FALSE),TEXT($B227,"00")),PLAYERS,J$1,FALSE),"+")</f>
        <v>10+</v>
      </c>
      <c r="K227" s="50" t="str">
        <f>VLOOKUP(CONCATENATE(VLOOKUP(A227,TEAMS,2,FALSE),TEXT($B227,"00")),PLAYERS,K$1,FALSE)</f>
        <v>Mighty Blow (+1), Regeneration</v>
      </c>
      <c r="L227" s="49" t="str">
        <f>VLOOKUP(CONCATENATE(VLOOKUP(A227,TEAMS,2,FALSE),TEXT($B227,"00")),PLAYERS,L$1,FALSE)</f>
        <v>S</v>
      </c>
      <c r="M227" s="49" t="str">
        <f>VLOOKUP(CONCATENATE(VLOOKUP(A227,TEAMS,2,FALSE),TEXT($B227,"00")),PLAYERS,M$1,FALSE)</f>
        <v>AG</v>
      </c>
      <c r="N227" s="48" t="str">
        <f>CONCATENATE(ABS(VLOOKUP(CONCATENATE(VLOOKUP(A227,TEAMS,2,FALSE),TEXT(B227,"00")),PLAYERS,5,FALSE)),"k")</f>
        <v>125k</v>
      </c>
    </row>
    <row r="228" spans="1:14" x14ac:dyDescent="0.25">
      <c r="D228" s="17" t="s">
        <v>580</v>
      </c>
      <c r="E228" s="17" t="str">
        <f>CONCATENATE(VLOOKUP(A221,TEAMS,5,FALSE),"k")</f>
        <v>70k</v>
      </c>
      <c r="F228" s="364" t="s">
        <v>584</v>
      </c>
      <c r="G228" s="369"/>
      <c r="H228" s="369"/>
      <c r="I228" s="365"/>
      <c r="J228" s="48" t="str">
        <f>VLOOKUP(A221,TEAMS,6,FALSE)</f>
        <v>No</v>
      </c>
      <c r="K228" s="366" t="s">
        <v>585</v>
      </c>
      <c r="L228" s="367"/>
      <c r="M228" s="368"/>
      <c r="N228" s="51">
        <f>VLOOKUP(A221,TEAMS,8,FALSE)</f>
        <v>1</v>
      </c>
    </row>
    <row r="229" spans="1:14" ht="15" customHeight="1" x14ac:dyDescent="0.25">
      <c r="D229" s="364" t="s">
        <v>586</v>
      </c>
      <c r="E229" s="365"/>
      <c r="F229" s="360" t="str">
        <f>IFERROR(VLOOKUP(LEFT(VLOOKUP(A223,TEAMS,7,FALSE),3),SpecialRules,3,FALSE) &amp; VLOOKUP(MID(VLOOKUP(A223,TEAMS,7,FALSE),4,3),SpecialRules,3,FALSE),"")</f>
        <v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Unless this team is a Vampire team, this team may not hire an Apothecary. This team is allowed to induce a Mortuary Assistant. </v>
      </c>
      <c r="G229" s="360"/>
      <c r="H229" s="360"/>
      <c r="I229" s="360"/>
      <c r="J229" s="360"/>
      <c r="K229" s="360"/>
      <c r="L229" s="360"/>
      <c r="M229" s="360"/>
      <c r="N229" s="360"/>
    </row>
    <row r="230" spans="1:14" ht="15" customHeight="1" x14ac:dyDescent="0.25">
      <c r="D230" s="141"/>
      <c r="E230" s="141"/>
      <c r="F230" s="142"/>
      <c r="G230" s="142"/>
      <c r="H230" s="142"/>
      <c r="I230" s="142"/>
      <c r="J230" s="142"/>
      <c r="K230" s="142"/>
      <c r="L230" s="142"/>
      <c r="M230" s="142"/>
      <c r="N230" s="142"/>
    </row>
    <row r="231" spans="1:14" ht="21.6" customHeight="1" x14ac:dyDescent="0.35">
      <c r="A231" s="6" t="s">
        <v>97</v>
      </c>
      <c r="B231" s="6">
        <v>4</v>
      </c>
      <c r="D231" s="354" t="str">
        <f>A231</f>
        <v>Slann</v>
      </c>
      <c r="E231" s="355"/>
      <c r="F231" s="355"/>
      <c r="G231" s="355"/>
      <c r="H231" s="355"/>
      <c r="I231" s="355"/>
      <c r="J231" s="355"/>
      <c r="K231" s="355"/>
      <c r="L231" s="355"/>
      <c r="M231" s="355"/>
      <c r="N231" s="356"/>
    </row>
    <row r="232" spans="1:14" ht="15" customHeight="1" x14ac:dyDescent="0.25">
      <c r="A232" s="6" t="s">
        <v>97</v>
      </c>
      <c r="D232" s="17" t="s">
        <v>765</v>
      </c>
      <c r="E232" s="17" t="s">
        <v>3</v>
      </c>
      <c r="F232" s="48" t="s">
        <v>4</v>
      </c>
      <c r="G232" s="48" t="s">
        <v>5</v>
      </c>
      <c r="H232" s="48" t="s">
        <v>6</v>
      </c>
      <c r="I232" s="48" t="s">
        <v>7</v>
      </c>
      <c r="J232" s="48" t="s">
        <v>8</v>
      </c>
      <c r="K232" s="17" t="s">
        <v>566</v>
      </c>
      <c r="L232" s="17" t="s">
        <v>578</v>
      </c>
      <c r="M232" s="17" t="s">
        <v>579</v>
      </c>
      <c r="N232" s="51" t="s">
        <v>715</v>
      </c>
    </row>
    <row r="233" spans="1:14" ht="15" customHeight="1" x14ac:dyDescent="0.25">
      <c r="A233" s="6" t="s">
        <v>97</v>
      </c>
      <c r="B233" s="6">
        <v>1</v>
      </c>
      <c r="D233" s="49" t="str">
        <f>CONCATENATE("0-",VLOOKUP(CONCATENATE(VLOOKUP(A233,TEAMS,2,FALSE),TEXT(B233,"00")),PLAYERS,$D$1,FALSE),IF(VLOOKUP(CONCATENATE(VLOOKUP(A233,TEAMS,2,FALSE),TEXT(B233,"00")),PLAYERS,$D$1+1,FALSE)="BG"," *",""))</f>
        <v>0-16</v>
      </c>
      <c r="E233" s="50" t="str">
        <f>VLOOKUP(CONCATENATE(VLOOKUP(A233,TEAMS,2,FALSE),TEXT($B233,"00")),PLAYERS,E$1,FALSE)</f>
        <v>Slann Lineman</v>
      </c>
      <c r="F233" s="48">
        <f>VLOOKUP(CONCATENATE(VLOOKUP(A233,TEAMS,2,FALSE),TEXT($B233,"00")),PLAYERS,F$1,FALSE)</f>
        <v>6</v>
      </c>
      <c r="G233" s="48">
        <f>VLOOKUP(CONCATENATE(VLOOKUP(A233,TEAMS,2,FALSE),TEXT($B233,"00")),PLAYERS,G$1,FALSE)</f>
        <v>3</v>
      </c>
      <c r="H233" s="48" t="str">
        <f>CONCATENATE(VLOOKUP(CONCATENATE(VLOOKUP(A233,TEAMS,2,FALSE),TEXT($B233,"00")),PLAYERS,H$1,FALSE),"+")</f>
        <v>3+</v>
      </c>
      <c r="I233" s="48" t="str">
        <f>CONCATENATE(VLOOKUP(CONCATENATE(VLOOKUP(A233,TEAMS,2,FALSE),TEXT($B233,"00")),PLAYERS,I$1,FALSE),IF(VLOOKUP(CONCATENATE(VLOOKUP(A233,TEAMS,2,FALSE),TEXT($B233,"00")),PLAYERS,I$1,FALSE)="-","","+"))</f>
        <v>4+</v>
      </c>
      <c r="J233" s="48" t="str">
        <f>CONCATENATE(VLOOKUP(CONCATENATE(VLOOKUP(A233,TEAMS,2,FALSE),TEXT($B233,"00")),PLAYERS,J$1,FALSE),"+")</f>
        <v>9+</v>
      </c>
      <c r="K233" s="50" t="str">
        <f>VLOOKUP(CONCATENATE(VLOOKUP(A233,TEAMS,2,FALSE),TEXT($B233,"00")),PLAYERS,K$1,FALSE)</f>
        <v>Pogo Stick, Very Long Legs</v>
      </c>
      <c r="L233" s="49" t="str">
        <f>VLOOKUP(CONCATENATE(VLOOKUP(A233,TEAMS,2,FALSE),TEXT($B233,"00")),PLAYERS,L$1,FALSE)</f>
        <v>G</v>
      </c>
      <c r="M233" s="49" t="str">
        <f>VLOOKUP(CONCATENATE(VLOOKUP(A233,TEAMS,2,FALSE),TEXT($B233,"00")),PLAYERS,M$1,FALSE)</f>
        <v>ASP</v>
      </c>
      <c r="N233" s="48" t="str">
        <f>CONCATENATE(ABS(VLOOKUP(CONCATENATE(VLOOKUP(A233,TEAMS,2,FALSE),TEXT(B233,"00")),PLAYERS,5,FALSE)),"k")</f>
        <v>60k</v>
      </c>
    </row>
    <row r="234" spans="1:14" ht="15" customHeight="1" x14ac:dyDescent="0.25">
      <c r="A234" s="6" t="s">
        <v>97</v>
      </c>
      <c r="B234" s="6">
        <v>2</v>
      </c>
      <c r="D234" s="49" t="str">
        <f>CONCATENATE("0-",VLOOKUP(CONCATENATE(VLOOKUP(A234,TEAMS,2,FALSE),TEXT(B234,"00")),PLAYERS,$D$1,FALSE),IF(VLOOKUP(CONCATENATE(VLOOKUP(A234,TEAMS,2,FALSE),TEXT(B234,"00")),PLAYERS,$D$1+1,FALSE)="BG"," *",""))</f>
        <v>0-4</v>
      </c>
      <c r="E234" s="50" t="str">
        <f>VLOOKUP(CONCATENATE(VLOOKUP(A234,TEAMS,2,FALSE),TEXT($B234,"00")),PLAYERS,E$1,FALSE)</f>
        <v>Slann Catcher</v>
      </c>
      <c r="F234" s="48">
        <f>VLOOKUP(CONCATENATE(VLOOKUP(A234,TEAMS,2,FALSE),TEXT($B234,"00")),PLAYERS,F$1,FALSE)</f>
        <v>7</v>
      </c>
      <c r="G234" s="48">
        <f>VLOOKUP(CONCATENATE(VLOOKUP(A234,TEAMS,2,FALSE),TEXT($B234,"00")),PLAYERS,G$1,FALSE)</f>
        <v>2</v>
      </c>
      <c r="H234" s="48" t="str">
        <f>CONCATENATE(VLOOKUP(CONCATENATE(VLOOKUP(A234,TEAMS,2,FALSE),TEXT($B234,"00")),PLAYERS,H$1,FALSE),"+")</f>
        <v>2+</v>
      </c>
      <c r="I234" s="48" t="str">
        <f>CONCATENATE(VLOOKUP(CONCATENATE(VLOOKUP(A234,TEAMS,2,FALSE),TEXT($B234,"00")),PLAYERS,I$1,FALSE),IF(VLOOKUP(CONCATENATE(VLOOKUP(A234,TEAMS,2,FALSE),TEXT($B234,"00")),PLAYERS,I$1,FALSE)="-","","+"))</f>
        <v>4+</v>
      </c>
      <c r="J234" s="48" t="str">
        <f>CONCATENATE(VLOOKUP(CONCATENATE(VLOOKUP(A234,TEAMS,2,FALSE),TEXT($B234,"00")),PLAYERS,J$1,FALSE),"+")</f>
        <v>8+</v>
      </c>
      <c r="K234" s="50" t="str">
        <f>VLOOKUP(CONCATENATE(VLOOKUP(A234,TEAMS,2,FALSE),TEXT($B234,"00")),PLAYERS,K$1,FALSE)</f>
        <v>Diving Catch, Pogo Stick, Very Long Legs</v>
      </c>
      <c r="L234" s="49" t="str">
        <f>VLOOKUP(CONCATENATE(VLOOKUP(A234,TEAMS,2,FALSE),TEXT($B234,"00")),PLAYERS,L$1,FALSE)</f>
        <v>AG</v>
      </c>
      <c r="M234" s="49" t="str">
        <f>VLOOKUP(CONCATENATE(VLOOKUP(A234,TEAMS,2,FALSE),TEXT($B234,"00")),PLAYERS,M$1,FALSE)</f>
        <v>PS</v>
      </c>
      <c r="N234" s="48" t="str">
        <f>CONCATENATE(ABS(VLOOKUP(CONCATENATE(VLOOKUP(A234,TEAMS,2,FALSE),TEXT(B234,"00")),PLAYERS,5,FALSE)),"k")</f>
        <v>80k</v>
      </c>
    </row>
    <row r="235" spans="1:14" ht="15" customHeight="1" x14ac:dyDescent="0.25">
      <c r="A235" s="6" t="s">
        <v>97</v>
      </c>
      <c r="B235" s="6">
        <v>3</v>
      </c>
      <c r="D235" s="49" t="str">
        <f>CONCATENATE("0-",VLOOKUP(CONCATENATE(VLOOKUP(A235,TEAMS,2,FALSE),TEXT(B235,"00")),PLAYERS,$D$1,FALSE),IF(VLOOKUP(CONCATENATE(VLOOKUP(A235,TEAMS,2,FALSE),TEXT(B235,"00")),PLAYERS,$D$1+1,FALSE)="BG"," *",""))</f>
        <v>0-4</v>
      </c>
      <c r="E235" s="50" t="str">
        <f>VLOOKUP(CONCATENATE(VLOOKUP(A235,TEAMS,2,FALSE),TEXT($B235,"00")),PLAYERS,E$1,FALSE)</f>
        <v>Slann Blitzer</v>
      </c>
      <c r="F235" s="48">
        <f>VLOOKUP(CONCATENATE(VLOOKUP(A235,TEAMS,2,FALSE),TEXT($B235,"00")),PLAYERS,F$1,FALSE)</f>
        <v>7</v>
      </c>
      <c r="G235" s="48">
        <f>VLOOKUP(CONCATENATE(VLOOKUP(A235,TEAMS,2,FALSE),TEXT($B235,"00")),PLAYERS,G$1,FALSE)</f>
        <v>3</v>
      </c>
      <c r="H235" s="48" t="str">
        <f>CONCATENATE(VLOOKUP(CONCATENATE(VLOOKUP(A235,TEAMS,2,FALSE),TEXT($B235,"00")),PLAYERS,H$1,FALSE),"+")</f>
        <v>3+</v>
      </c>
      <c r="I235" s="48" t="str">
        <f>CONCATENATE(VLOOKUP(CONCATENATE(VLOOKUP(A235,TEAMS,2,FALSE),TEXT($B235,"00")),PLAYERS,I$1,FALSE),IF(VLOOKUP(CONCATENATE(VLOOKUP(A235,TEAMS,2,FALSE),TEXT($B235,"00")),PLAYERS,I$1,FALSE)="-","","+"))</f>
        <v>4+</v>
      </c>
      <c r="J235" s="48" t="str">
        <f>CONCATENATE(VLOOKUP(CONCATENATE(VLOOKUP(A235,TEAMS,2,FALSE),TEXT($B235,"00")),PLAYERS,J$1,FALSE),"+")</f>
        <v>9+</v>
      </c>
      <c r="K235" s="50" t="str">
        <f>VLOOKUP(CONCATENATE(VLOOKUP(A235,TEAMS,2,FALSE),TEXT($B235,"00")),PLAYERS,K$1,FALSE)</f>
        <v>Diving Tackle, Jump Up, Pogo Stick, Very Long Legs</v>
      </c>
      <c r="L235" s="49" t="str">
        <f>VLOOKUP(CONCATENATE(VLOOKUP(A235,TEAMS,2,FALSE),TEXT($B235,"00")),PLAYERS,L$1,FALSE)</f>
        <v>AGS</v>
      </c>
      <c r="M235" s="49" t="str">
        <f>VLOOKUP(CONCATENATE(VLOOKUP(A235,TEAMS,2,FALSE),TEXT($B235,"00")),PLAYERS,M$1,FALSE)</f>
        <v>P</v>
      </c>
      <c r="N235" s="48" t="str">
        <f>CONCATENATE(ABS(VLOOKUP(CONCATENATE(VLOOKUP(A235,TEAMS,2,FALSE),TEXT(B235,"00")),PLAYERS,5,FALSE)),"k")</f>
        <v>110k</v>
      </c>
    </row>
    <row r="236" spans="1:14" ht="15" customHeight="1" x14ac:dyDescent="0.25">
      <c r="A236" s="6" t="s">
        <v>97</v>
      </c>
      <c r="B236" s="6">
        <v>4</v>
      </c>
      <c r="D236" s="49" t="str">
        <f>CONCATENATE("0-",VLOOKUP(CONCATENATE(VLOOKUP(A236,TEAMS,2,FALSE),TEXT(B236,"00")),PLAYERS,$D$1,FALSE),IF(VLOOKUP(CONCATENATE(VLOOKUP(A236,TEAMS,2,FALSE),TEXT(B236,"00")),PLAYERS,$D$1+1,FALSE)="BG"," *",""))</f>
        <v>0-1</v>
      </c>
      <c r="E236" s="50" t="str">
        <f>VLOOKUP(CONCATENATE(VLOOKUP(A236,TEAMS,2,FALSE),TEXT($B236,"00")),PLAYERS,E$1,FALSE)</f>
        <v>Kroxigor</v>
      </c>
      <c r="F236" s="48">
        <f>VLOOKUP(CONCATENATE(VLOOKUP(A236,TEAMS,2,FALSE),TEXT($B236,"00")),PLAYERS,F$1,FALSE)</f>
        <v>6</v>
      </c>
      <c r="G236" s="48">
        <f>VLOOKUP(CONCATENATE(VLOOKUP(A236,TEAMS,2,FALSE),TEXT($B236,"00")),PLAYERS,G$1,FALSE)</f>
        <v>5</v>
      </c>
      <c r="H236" s="48" t="str">
        <f>CONCATENATE(VLOOKUP(CONCATENATE(VLOOKUP(A236,TEAMS,2,FALSE),TEXT($B236,"00")),PLAYERS,H$1,FALSE),"+")</f>
        <v>5+</v>
      </c>
      <c r="I236" s="48" t="str">
        <f>CONCATENATE(VLOOKUP(CONCATENATE(VLOOKUP(A236,TEAMS,2,FALSE),TEXT($B236,"00")),PLAYERS,I$1,FALSE),IF(VLOOKUP(CONCATENATE(VLOOKUP(A236,TEAMS,2,FALSE),TEXT($B236,"00")),PLAYERS,I$1,FALSE)="-","","+"))</f>
        <v>-</v>
      </c>
      <c r="J236" s="48" t="str">
        <f>CONCATENATE(VLOOKUP(CONCATENATE(VLOOKUP(A236,TEAMS,2,FALSE),TEXT($B236,"00")),PLAYERS,J$1,FALSE),"+")</f>
        <v>10+</v>
      </c>
      <c r="K236" s="50" t="str">
        <f>VLOOKUP(CONCATENATE(VLOOKUP(A236,TEAMS,2,FALSE),TEXT($B236,"00")),PLAYERS,K$1,FALSE)</f>
        <v>Bone Head*, Loner (4+)*, Mighty Blow (+1), Prehensile Tail, Thick Skull</v>
      </c>
      <c r="L236" s="49" t="str">
        <f>VLOOKUP(CONCATENATE(VLOOKUP(A236,TEAMS,2,FALSE),TEXT($B236,"00")),PLAYERS,L$1,FALSE)</f>
        <v>S</v>
      </c>
      <c r="M236" s="49" t="str">
        <f>VLOOKUP(CONCATENATE(VLOOKUP(A236,TEAMS,2,FALSE),TEXT($B236,"00")),PLAYERS,M$1,FALSE)</f>
        <v>AG</v>
      </c>
      <c r="N236" s="48" t="str">
        <f>CONCATENATE(ABS(VLOOKUP(CONCATENATE(VLOOKUP(A236,TEAMS,2,FALSE),TEXT(B236,"00")),PLAYERS,5,FALSE)),"k")</f>
        <v>140k</v>
      </c>
    </row>
    <row r="237" spans="1:14" ht="15" customHeight="1" x14ac:dyDescent="0.25">
      <c r="D237" s="17" t="s">
        <v>580</v>
      </c>
      <c r="E237" s="17" t="str">
        <f>CONCATENATE(VLOOKUP(A233,TEAMS,5,FALSE),"k")</f>
        <v>50k</v>
      </c>
      <c r="F237" s="364" t="s">
        <v>584</v>
      </c>
      <c r="G237" s="369"/>
      <c r="H237" s="369"/>
      <c r="I237" s="365"/>
      <c r="J237" s="48" t="str">
        <f>VLOOKUP(A233,TEAMS,6,FALSE)</f>
        <v>Yes</v>
      </c>
      <c r="K237" s="366" t="s">
        <v>585</v>
      </c>
      <c r="L237" s="367"/>
      <c r="M237" s="368"/>
      <c r="N237" s="51">
        <f>VLOOKUP(A233,TEAMS,8,FALSE)</f>
        <v>4</v>
      </c>
    </row>
    <row r="238" spans="1:14" ht="15" customHeight="1" x14ac:dyDescent="0.25">
      <c r="D238" s="364" t="s">
        <v>586</v>
      </c>
      <c r="E238" s="365"/>
      <c r="F238" s="360" t="str">
        <f>IFERROR(VLOOKUP(LEFT(VLOOKUP(A232,TEAMS,7,FALSE),3),SpecialRules,3,FALSE) &amp; VLOOKUP(MID(VLOOKUP(A232,TEAMS,7,FALSE),4,3),SpecialRules,3,FALSE),"")</f>
        <v/>
      </c>
      <c r="G238" s="360"/>
      <c r="H238" s="360"/>
      <c r="I238" s="360"/>
      <c r="J238" s="360"/>
      <c r="K238" s="360"/>
      <c r="L238" s="360"/>
      <c r="M238" s="360"/>
      <c r="N238" s="360"/>
    </row>
    <row r="239" spans="1:14" x14ac:dyDescent="0.25">
      <c r="D239" s="362"/>
      <c r="E239" s="362"/>
      <c r="F239" s="362"/>
      <c r="G239" s="362"/>
      <c r="H239" s="362"/>
      <c r="I239" s="362"/>
      <c r="J239" s="362"/>
      <c r="K239" s="362"/>
      <c r="L239" s="362"/>
      <c r="M239" s="362"/>
      <c r="N239" s="362"/>
    </row>
    <row r="240" spans="1:14" ht="21.6" customHeight="1" x14ac:dyDescent="0.35">
      <c r="A240" s="6" t="s">
        <v>100</v>
      </c>
      <c r="B240" s="6">
        <v>5</v>
      </c>
      <c r="D240" s="354" t="str">
        <f>A240</f>
        <v>Skaven</v>
      </c>
      <c r="E240" s="355"/>
      <c r="F240" s="355"/>
      <c r="G240" s="355"/>
      <c r="H240" s="355"/>
      <c r="I240" s="355"/>
      <c r="J240" s="355"/>
      <c r="K240" s="355"/>
      <c r="L240" s="355"/>
      <c r="M240" s="355"/>
      <c r="N240" s="356"/>
    </row>
    <row r="241" spans="1:14" x14ac:dyDescent="0.25">
      <c r="A241" s="6" t="s">
        <v>100</v>
      </c>
      <c r="D241" s="17" t="s">
        <v>765</v>
      </c>
      <c r="E241" s="17" t="s">
        <v>3</v>
      </c>
      <c r="F241" s="48" t="s">
        <v>4</v>
      </c>
      <c r="G241" s="48" t="s">
        <v>5</v>
      </c>
      <c r="H241" s="48" t="s">
        <v>6</v>
      </c>
      <c r="I241" s="48" t="s">
        <v>7</v>
      </c>
      <c r="J241" s="48" t="s">
        <v>8</v>
      </c>
      <c r="K241" s="17" t="s">
        <v>566</v>
      </c>
      <c r="L241" s="17" t="s">
        <v>578</v>
      </c>
      <c r="M241" s="17" t="s">
        <v>579</v>
      </c>
      <c r="N241" s="51" t="s">
        <v>715</v>
      </c>
    </row>
    <row r="242" spans="1:14" x14ac:dyDescent="0.25">
      <c r="A242" s="6" t="s">
        <v>100</v>
      </c>
      <c r="B242" s="6">
        <v>1</v>
      </c>
      <c r="D242" s="49" t="str">
        <f>CONCATENATE("0-",VLOOKUP(CONCATENATE(VLOOKUP(A242,TEAMS,2,FALSE),TEXT(B242,"00")),PLAYERS,$D$1,FALSE),IF(VLOOKUP(CONCATENATE(VLOOKUP(A242,TEAMS,2,FALSE),TEXT(B242,"00")),PLAYERS,$D$1+1,FALSE)="BG"," *",""))</f>
        <v>0-16</v>
      </c>
      <c r="E242" s="50" t="str">
        <f>VLOOKUP(CONCATENATE(VLOOKUP(A242,TEAMS,2,FALSE),TEXT($B242,"00")),PLAYERS,E$1,FALSE)</f>
        <v>Skaven Clanrat Lineman</v>
      </c>
      <c r="F242" s="48">
        <f>VLOOKUP(CONCATENATE(VLOOKUP(A242,TEAMS,2,FALSE),TEXT($B242,"00")),PLAYERS,F$1,FALSE)</f>
        <v>7</v>
      </c>
      <c r="G242" s="48">
        <f>VLOOKUP(CONCATENATE(VLOOKUP(A242,TEAMS,2,FALSE),TEXT($B242,"00")),PLAYERS,G$1,FALSE)</f>
        <v>3</v>
      </c>
      <c r="H242" s="48" t="str">
        <f>CONCATENATE(VLOOKUP(CONCATENATE(VLOOKUP(A242,TEAMS,2,FALSE),TEXT($B242,"00")),PLAYERS,H$1,FALSE),"+")</f>
        <v>3+</v>
      </c>
      <c r="I242" s="48" t="str">
        <f>CONCATENATE(VLOOKUP(CONCATENATE(VLOOKUP(A242,TEAMS,2,FALSE),TEXT($B242,"00")),PLAYERS,I$1,FALSE),IF(VLOOKUP(CONCATENATE(VLOOKUP(A242,TEAMS,2,FALSE),TEXT($B242,"00")),PLAYERS,I$1,FALSE)="-","","+"))</f>
        <v>4+</v>
      </c>
      <c r="J242" s="48" t="str">
        <f>CONCATENATE(VLOOKUP(CONCATENATE(VLOOKUP(A242,TEAMS,2,FALSE),TEXT($B242,"00")),PLAYERS,J$1,FALSE),"+")</f>
        <v>8+</v>
      </c>
      <c r="K242" s="50" t="str">
        <f>VLOOKUP(CONCATENATE(VLOOKUP(A242,TEAMS,2,FALSE),TEXT($B242,"00")),PLAYERS,K$1,FALSE)</f>
        <v>None</v>
      </c>
      <c r="L242" s="49" t="str">
        <f>VLOOKUP(CONCATENATE(VLOOKUP(A242,TEAMS,2,FALSE),TEXT($B242,"00")),PLAYERS,L$1,FALSE)</f>
        <v>G</v>
      </c>
      <c r="M242" s="49" t="str">
        <f>VLOOKUP(CONCATENATE(VLOOKUP(A242,TEAMS,2,FALSE),TEXT($B242,"00")),PLAYERS,M$1,FALSE)</f>
        <v>AMS</v>
      </c>
      <c r="N242" s="48" t="str">
        <f>CONCATENATE(ABS(VLOOKUP(CONCATENATE(VLOOKUP(A242,TEAMS,2,FALSE),TEXT(B242,"00")),PLAYERS,5,FALSE)),"k")</f>
        <v>50k</v>
      </c>
    </row>
    <row r="243" spans="1:14" x14ac:dyDescent="0.25">
      <c r="A243" s="6" t="s">
        <v>100</v>
      </c>
      <c r="B243" s="6">
        <v>2</v>
      </c>
      <c r="D243" s="49" t="str">
        <f>CONCATENATE("0-",VLOOKUP(CONCATENATE(VLOOKUP(A243,TEAMS,2,FALSE),TEXT(B243,"00")),PLAYERS,$D$1,FALSE),IF(VLOOKUP(CONCATENATE(VLOOKUP(A243,TEAMS,2,FALSE),TEXT(B243,"00")),PLAYERS,$D$1+1,FALSE)="BG"," *",""))</f>
        <v>0-2</v>
      </c>
      <c r="E243" s="50" t="str">
        <f>VLOOKUP(CONCATENATE(VLOOKUP(A243,TEAMS,2,FALSE),TEXT($B243,"00")),PLAYERS,E$1,FALSE)</f>
        <v>Skaven Thrower</v>
      </c>
      <c r="F243" s="48">
        <f>VLOOKUP(CONCATENATE(VLOOKUP(A243,TEAMS,2,FALSE),TEXT($B243,"00")),PLAYERS,F$1,FALSE)</f>
        <v>7</v>
      </c>
      <c r="G243" s="48">
        <f>VLOOKUP(CONCATENATE(VLOOKUP(A243,TEAMS,2,FALSE),TEXT($B243,"00")),PLAYERS,G$1,FALSE)</f>
        <v>3</v>
      </c>
      <c r="H243" s="48" t="str">
        <f>CONCATENATE(VLOOKUP(CONCATENATE(VLOOKUP(A243,TEAMS,2,FALSE),TEXT($B243,"00")),PLAYERS,H$1,FALSE),"+")</f>
        <v>3+</v>
      </c>
      <c r="I243" s="48" t="str">
        <f>CONCATENATE(VLOOKUP(CONCATENATE(VLOOKUP(A243,TEAMS,2,FALSE),TEXT($B243,"00")),PLAYERS,I$1,FALSE),IF(VLOOKUP(CONCATENATE(VLOOKUP(A243,TEAMS,2,FALSE),TEXT($B243,"00")),PLAYERS,I$1,FALSE)="-","","+"))</f>
        <v>2+</v>
      </c>
      <c r="J243" s="48" t="str">
        <f>CONCATENATE(VLOOKUP(CONCATENATE(VLOOKUP(A243,TEAMS,2,FALSE),TEXT($B243,"00")),PLAYERS,J$1,FALSE),"+")</f>
        <v>8+</v>
      </c>
      <c r="K243" s="50" t="str">
        <f>VLOOKUP(CONCATENATE(VLOOKUP(A243,TEAMS,2,FALSE),TEXT($B243,"00")),PLAYERS,K$1,FALSE)</f>
        <v>Pass, Sure Hands</v>
      </c>
      <c r="L243" s="49" t="str">
        <f>VLOOKUP(CONCATENATE(VLOOKUP(A243,TEAMS,2,FALSE),TEXT($B243,"00")),PLAYERS,L$1,FALSE)</f>
        <v>GP</v>
      </c>
      <c r="M243" s="49" t="str">
        <f>VLOOKUP(CONCATENATE(VLOOKUP(A243,TEAMS,2,FALSE),TEXT($B243,"00")),PLAYERS,M$1,FALSE)</f>
        <v>AMS</v>
      </c>
      <c r="N243" s="48" t="str">
        <f>CONCATENATE(ABS(VLOOKUP(CONCATENATE(VLOOKUP(A243,TEAMS,2,FALSE),TEXT(B243,"00")),PLAYERS,5,FALSE)),"k")</f>
        <v>85k</v>
      </c>
    </row>
    <row r="244" spans="1:14" x14ac:dyDescent="0.25">
      <c r="A244" s="6" t="s">
        <v>100</v>
      </c>
      <c r="B244" s="6">
        <v>3</v>
      </c>
      <c r="D244" s="49" t="str">
        <f>CONCATENATE("0-",VLOOKUP(CONCATENATE(VLOOKUP(A244,TEAMS,2,FALSE),TEXT(B244,"00")),PLAYERS,$D$1,FALSE),IF(VLOOKUP(CONCATENATE(VLOOKUP(A244,TEAMS,2,FALSE),TEXT(B244,"00")),PLAYERS,$D$1+1,FALSE)="BG"," *",""))</f>
        <v>0-4</v>
      </c>
      <c r="E244" s="50" t="str">
        <f>VLOOKUP(CONCATENATE(VLOOKUP(A244,TEAMS,2,FALSE),TEXT($B244,"00")),PLAYERS,E$1,FALSE)</f>
        <v>Skaven Gutter Runner</v>
      </c>
      <c r="F244" s="48">
        <f>VLOOKUP(CONCATENATE(VLOOKUP(A244,TEAMS,2,FALSE),TEXT($B244,"00")),PLAYERS,F$1,FALSE)</f>
        <v>9</v>
      </c>
      <c r="G244" s="48">
        <f>VLOOKUP(CONCATENATE(VLOOKUP(A244,TEAMS,2,FALSE),TEXT($B244,"00")),PLAYERS,G$1,FALSE)</f>
        <v>2</v>
      </c>
      <c r="H244" s="48" t="str">
        <f>CONCATENATE(VLOOKUP(CONCATENATE(VLOOKUP(A244,TEAMS,2,FALSE),TEXT($B244,"00")),PLAYERS,H$1,FALSE),"+")</f>
        <v>2+</v>
      </c>
      <c r="I244" s="48" t="str">
        <f>CONCATENATE(VLOOKUP(CONCATENATE(VLOOKUP(A244,TEAMS,2,FALSE),TEXT($B244,"00")),PLAYERS,I$1,FALSE),IF(VLOOKUP(CONCATENATE(VLOOKUP(A244,TEAMS,2,FALSE),TEXT($B244,"00")),PLAYERS,I$1,FALSE)="-","","+"))</f>
        <v>4+</v>
      </c>
      <c r="J244" s="48" t="str">
        <f>CONCATENATE(VLOOKUP(CONCATENATE(VLOOKUP(A244,TEAMS,2,FALSE),TEXT($B244,"00")),PLAYERS,J$1,FALSE),"+")</f>
        <v>8+</v>
      </c>
      <c r="K244" s="50" t="str">
        <f>VLOOKUP(CONCATENATE(VLOOKUP(A244,TEAMS,2,FALSE),TEXT($B244,"00")),PLAYERS,K$1,FALSE)</f>
        <v>Dodge</v>
      </c>
      <c r="L244" s="49" t="str">
        <f>VLOOKUP(CONCATENATE(VLOOKUP(A244,TEAMS,2,FALSE),TEXT($B244,"00")),PLAYERS,L$1,FALSE)</f>
        <v>AG</v>
      </c>
      <c r="M244" s="49" t="str">
        <f>VLOOKUP(CONCATENATE(VLOOKUP(A244,TEAMS,2,FALSE),TEXT($B244,"00")),PLAYERS,M$1,FALSE)</f>
        <v>MPS</v>
      </c>
      <c r="N244" s="48" t="str">
        <f>CONCATENATE(ABS(VLOOKUP(CONCATENATE(VLOOKUP(A244,TEAMS,2,FALSE),TEXT(B244,"00")),PLAYERS,5,FALSE)),"k")</f>
        <v>85k</v>
      </c>
    </row>
    <row r="245" spans="1:14" x14ac:dyDescent="0.25">
      <c r="A245" s="6" t="s">
        <v>100</v>
      </c>
      <c r="B245" s="6">
        <v>4</v>
      </c>
      <c r="D245" s="49" t="str">
        <f>CONCATENATE("0-",VLOOKUP(CONCATENATE(VLOOKUP(A245,TEAMS,2,FALSE),TEXT(B245,"00")),PLAYERS,$D$1,FALSE),IF(VLOOKUP(CONCATENATE(VLOOKUP(A245,TEAMS,2,FALSE),TEXT(B245,"00")),PLAYERS,$D$1+1,FALSE)="BG"," *",""))</f>
        <v>0-2</v>
      </c>
      <c r="E245" s="50" t="str">
        <f>VLOOKUP(CONCATENATE(VLOOKUP(A245,TEAMS,2,FALSE),TEXT($B245,"00")),PLAYERS,E$1,FALSE)</f>
        <v>Skaven Blitzer</v>
      </c>
      <c r="F245" s="48">
        <f>VLOOKUP(CONCATENATE(VLOOKUP(A245,TEAMS,2,FALSE),TEXT($B245,"00")),PLAYERS,F$1,FALSE)</f>
        <v>7</v>
      </c>
      <c r="G245" s="48">
        <f>VLOOKUP(CONCATENATE(VLOOKUP(A245,TEAMS,2,FALSE),TEXT($B245,"00")),PLAYERS,G$1,FALSE)</f>
        <v>3</v>
      </c>
      <c r="H245" s="48" t="str">
        <f>CONCATENATE(VLOOKUP(CONCATENATE(VLOOKUP(A245,TEAMS,2,FALSE),TEXT($B245,"00")),PLAYERS,H$1,FALSE),"+")</f>
        <v>3+</v>
      </c>
      <c r="I245" s="48" t="str">
        <f>CONCATENATE(VLOOKUP(CONCATENATE(VLOOKUP(A245,TEAMS,2,FALSE),TEXT($B245,"00")),PLAYERS,I$1,FALSE),IF(VLOOKUP(CONCATENATE(VLOOKUP(A245,TEAMS,2,FALSE),TEXT($B245,"00")),PLAYERS,I$1,FALSE)="-","","+"))</f>
        <v>5+</v>
      </c>
      <c r="J245" s="48" t="str">
        <f>CONCATENATE(VLOOKUP(CONCATENATE(VLOOKUP(A245,TEAMS,2,FALSE),TEXT($B245,"00")),PLAYERS,J$1,FALSE),"+")</f>
        <v>9+</v>
      </c>
      <c r="K245" s="50" t="str">
        <f>VLOOKUP(CONCATENATE(VLOOKUP(A245,TEAMS,2,FALSE),TEXT($B245,"00")),PLAYERS,K$1,FALSE)</f>
        <v>Block</v>
      </c>
      <c r="L245" s="49" t="str">
        <f>VLOOKUP(CONCATENATE(VLOOKUP(A245,TEAMS,2,FALSE),TEXT($B245,"00")),PLAYERS,L$1,FALSE)</f>
        <v>GS</v>
      </c>
      <c r="M245" s="49" t="str">
        <f>VLOOKUP(CONCATENATE(VLOOKUP(A245,TEAMS,2,FALSE),TEXT($B245,"00")),PLAYERS,M$1,FALSE)</f>
        <v>AMP</v>
      </c>
      <c r="N245" s="48" t="str">
        <f>CONCATENATE(ABS(VLOOKUP(CONCATENATE(VLOOKUP(A245,TEAMS,2,FALSE),TEXT(B245,"00")),PLAYERS,5,FALSE)),"k")</f>
        <v>90k</v>
      </c>
    </row>
    <row r="246" spans="1:14" ht="30" x14ac:dyDescent="0.25">
      <c r="A246" s="6" t="s">
        <v>100</v>
      </c>
      <c r="B246" s="6">
        <v>5</v>
      </c>
      <c r="D246" s="49" t="str">
        <f>CONCATENATE("0-",VLOOKUP(CONCATENATE(VLOOKUP(A246,TEAMS,2,FALSE),TEXT(B246,"00")),PLAYERS,$D$1,FALSE),IF(VLOOKUP(CONCATENATE(VLOOKUP(A246,TEAMS,2,FALSE),TEXT(B246,"00")),PLAYERS,$D$1+1,FALSE)="BG"," *",""))</f>
        <v>0-1</v>
      </c>
      <c r="E246" s="50" t="str">
        <f>VLOOKUP(CONCATENATE(VLOOKUP(A246,TEAMS,2,FALSE),TEXT($B246,"00")),PLAYERS,E$1,FALSE)</f>
        <v>Rat Ogre</v>
      </c>
      <c r="F246" s="48">
        <f>VLOOKUP(CONCATENATE(VLOOKUP(A246,TEAMS,2,FALSE),TEXT($B246,"00")),PLAYERS,F$1,FALSE)</f>
        <v>6</v>
      </c>
      <c r="G246" s="48">
        <f>VLOOKUP(CONCATENATE(VLOOKUP(A246,TEAMS,2,FALSE),TEXT($B246,"00")),PLAYERS,G$1,FALSE)</f>
        <v>5</v>
      </c>
      <c r="H246" s="48" t="str">
        <f>CONCATENATE(VLOOKUP(CONCATENATE(VLOOKUP(A246,TEAMS,2,FALSE),TEXT($B246,"00")),PLAYERS,H$1,FALSE),"+")</f>
        <v>4+</v>
      </c>
      <c r="I246" s="48" t="str">
        <f>CONCATENATE(VLOOKUP(CONCATENATE(VLOOKUP(A246,TEAMS,2,FALSE),TEXT($B246,"00")),PLAYERS,I$1,FALSE),IF(VLOOKUP(CONCATENATE(VLOOKUP(A246,TEAMS,2,FALSE),TEXT($B246,"00")),PLAYERS,I$1,FALSE)="-","","+"))</f>
        <v>-</v>
      </c>
      <c r="J246" s="48" t="str">
        <f>CONCATENATE(VLOOKUP(CONCATENATE(VLOOKUP(A246,TEAMS,2,FALSE),TEXT($B246,"00")),PLAYERS,J$1,FALSE),"+")</f>
        <v>9+</v>
      </c>
      <c r="K246" s="50" t="str">
        <f>VLOOKUP(CONCATENATE(VLOOKUP(A246,TEAMS,2,FALSE),TEXT($B246,"00")),PLAYERS,K$1,FALSE)</f>
        <v>Animal Savagery*, Frenzy*, Loner (4+)*, Mighty Blow (+1), Prehensile Tail</v>
      </c>
      <c r="L246" s="49" t="str">
        <f>VLOOKUP(CONCATENATE(VLOOKUP(A246,TEAMS,2,FALSE),TEXT($B246,"00")),PLAYERS,L$1,FALSE)</f>
        <v>S</v>
      </c>
      <c r="M246" s="49" t="str">
        <f>VLOOKUP(CONCATENATE(VLOOKUP(A246,TEAMS,2,FALSE),TEXT($B246,"00")),PLAYERS,M$1,FALSE)</f>
        <v>AGM</v>
      </c>
      <c r="N246" s="48" t="str">
        <f>CONCATENATE(ABS(VLOOKUP(CONCATENATE(VLOOKUP(A246,TEAMS,2,FALSE),TEXT(B246,"00")),PLAYERS,5,FALSE)),"k")</f>
        <v>150k</v>
      </c>
    </row>
    <row r="247" spans="1:14" x14ac:dyDescent="0.25">
      <c r="D247" s="17" t="s">
        <v>580</v>
      </c>
      <c r="E247" s="17" t="str">
        <f>CONCATENATE(VLOOKUP(A240,TEAMS,5,FALSE),"k")</f>
        <v>50k</v>
      </c>
      <c r="F247" s="364" t="s">
        <v>584</v>
      </c>
      <c r="G247" s="369"/>
      <c r="H247" s="369"/>
      <c r="I247" s="365"/>
      <c r="J247" s="48" t="str">
        <f>VLOOKUP(A240,TEAMS,6,FALSE)</f>
        <v>Yes</v>
      </c>
      <c r="K247" s="366" t="s">
        <v>585</v>
      </c>
      <c r="L247" s="367"/>
      <c r="M247" s="368"/>
      <c r="N247" s="51">
        <f>VLOOKUP(A240,TEAMS,8,FALSE)</f>
        <v>2</v>
      </c>
    </row>
    <row r="248" spans="1:14" ht="15" customHeight="1" x14ac:dyDescent="0.25">
      <c r="D248" s="364" t="s">
        <v>586</v>
      </c>
      <c r="E248" s="365"/>
      <c r="F248" s="360" t="str">
        <f>IFERROR(VLOOKUP(LEFT(VLOOKUP(A242,TEAMS,7,FALSE),3),SpecialRules,3,FALSE) &amp; VLOOKUP(MID(VLOOKUP(A242,TEAMS,7,FALSE),4,3),SpecialRules,3,FALSE),"")</f>
        <v/>
      </c>
      <c r="G248" s="360"/>
      <c r="H248" s="360"/>
      <c r="I248" s="360"/>
      <c r="J248" s="360"/>
      <c r="K248" s="360"/>
      <c r="L248" s="360"/>
      <c r="M248" s="360"/>
      <c r="N248" s="360"/>
    </row>
    <row r="249" spans="1:14" x14ac:dyDescent="0.25">
      <c r="D249" s="362"/>
      <c r="E249" s="362"/>
      <c r="F249" s="362"/>
      <c r="G249" s="362"/>
      <c r="H249" s="362"/>
      <c r="I249" s="362"/>
      <c r="J249" s="362"/>
      <c r="K249" s="362"/>
      <c r="L249" s="362"/>
      <c r="M249" s="362"/>
      <c r="N249" s="362"/>
    </row>
    <row r="250" spans="1:14" ht="21" x14ac:dyDescent="0.35">
      <c r="A250" s="6" t="s">
        <v>101</v>
      </c>
      <c r="B250" s="6">
        <v>6</v>
      </c>
      <c r="D250" s="354" t="str">
        <f>A250</f>
        <v>Snotling</v>
      </c>
      <c r="E250" s="355"/>
      <c r="F250" s="355"/>
      <c r="G250" s="355"/>
      <c r="H250" s="355"/>
      <c r="I250" s="355"/>
      <c r="J250" s="355"/>
      <c r="K250" s="355"/>
      <c r="L250" s="355"/>
      <c r="M250" s="355"/>
      <c r="N250" s="356"/>
    </row>
    <row r="251" spans="1:14" x14ac:dyDescent="0.25">
      <c r="A251" s="6" t="s">
        <v>101</v>
      </c>
      <c r="D251" s="17" t="s">
        <v>765</v>
      </c>
      <c r="E251" s="17" t="s">
        <v>3</v>
      </c>
      <c r="F251" s="48" t="s">
        <v>4</v>
      </c>
      <c r="G251" s="48" t="s">
        <v>5</v>
      </c>
      <c r="H251" s="48" t="s">
        <v>6</v>
      </c>
      <c r="I251" s="48" t="s">
        <v>7</v>
      </c>
      <c r="J251" s="48" t="s">
        <v>8</v>
      </c>
      <c r="K251" s="17" t="s">
        <v>566</v>
      </c>
      <c r="L251" s="17" t="s">
        <v>578</v>
      </c>
      <c r="M251" s="17" t="s">
        <v>579</v>
      </c>
      <c r="N251" s="51" t="s">
        <v>715</v>
      </c>
    </row>
    <row r="252" spans="1:14" ht="30" x14ac:dyDescent="0.25">
      <c r="A252" s="6" t="s">
        <v>101</v>
      </c>
      <c r="B252" s="6">
        <v>1</v>
      </c>
      <c r="D252" s="49" t="str">
        <f t="shared" ref="D252:D257" si="66">CONCATENATE("0-",VLOOKUP(CONCATENATE(VLOOKUP(A252,TEAMS,2,FALSE),TEXT(B252,"00")),PLAYERS,$D$1,FALSE),IF(VLOOKUP(CONCATENATE(VLOOKUP(A252,TEAMS,2,FALSE),TEXT(B252,"00")),PLAYERS,$D$1+1,FALSE)="BG"," *",""))</f>
        <v>0-16</v>
      </c>
      <c r="E252" s="50" t="str">
        <f t="shared" ref="E252:E257" si="67">VLOOKUP(CONCATENATE(VLOOKUP(A252,TEAMS,2,FALSE),TEXT($B252,"00")),PLAYERS,E$1,FALSE)</f>
        <v>Snotling Lineman</v>
      </c>
      <c r="F252" s="48">
        <f t="shared" ref="F252:F257" si="68">VLOOKUP(CONCATENATE(VLOOKUP(A252,TEAMS,2,FALSE),TEXT($B252,"00")),PLAYERS,F$1,FALSE)</f>
        <v>5</v>
      </c>
      <c r="G252" s="48">
        <f t="shared" ref="G252:G257" si="69">VLOOKUP(CONCATENATE(VLOOKUP(A252,TEAMS,2,FALSE),TEXT($B252,"00")),PLAYERS,G$1,FALSE)</f>
        <v>1</v>
      </c>
      <c r="H252" s="48" t="str">
        <f t="shared" ref="H252:H257" si="70">CONCATENATE(VLOOKUP(CONCATENATE(VLOOKUP(A252,TEAMS,2,FALSE),TEXT($B252,"00")),PLAYERS,H$1,FALSE),"+")</f>
        <v>3+</v>
      </c>
      <c r="I252" s="48" t="str">
        <f t="shared" ref="I252:I257" si="71">CONCATENATE(VLOOKUP(CONCATENATE(VLOOKUP(A252,TEAMS,2,FALSE),TEXT($B252,"00")),PLAYERS,I$1,FALSE),IF(VLOOKUP(CONCATENATE(VLOOKUP(A252,TEAMS,2,FALSE),TEXT($B252,"00")),PLAYERS,I$1,FALSE)="-","","+"))</f>
        <v>5+</v>
      </c>
      <c r="J252" s="48" t="str">
        <f t="shared" ref="J252:J257" si="72">CONCATENATE(VLOOKUP(CONCATENATE(VLOOKUP(A252,TEAMS,2,FALSE),TEXT($B252,"00")),PLAYERS,J$1,FALSE),"+")</f>
        <v>6+</v>
      </c>
      <c r="K252" s="50" t="str">
        <f t="shared" ref="K252:K257" si="73">VLOOKUP(CONCATENATE(VLOOKUP(A252,TEAMS,2,FALSE),TEXT($B252,"00")),PLAYERS,K$1,FALSE)</f>
        <v>Dodge, Right Stuff*, Sidestep, Stunty*, Swarming, Titchy*</v>
      </c>
      <c r="L252" s="49" t="str">
        <f t="shared" ref="L252:L257" si="74">VLOOKUP(CONCATENATE(VLOOKUP(A252,TEAMS,2,FALSE),TEXT($B252,"00")),PLAYERS,L$1,FALSE)</f>
        <v>A</v>
      </c>
      <c r="M252" s="49" t="str">
        <f t="shared" ref="M252:M257" si="75">VLOOKUP(CONCATENATE(VLOOKUP(A252,TEAMS,2,FALSE),TEXT($B252,"00")),PLAYERS,M$1,FALSE)</f>
        <v>G</v>
      </c>
      <c r="N252" s="48" t="str">
        <f t="shared" ref="N252:N257" si="76">CONCATENATE(ABS(VLOOKUP(CONCATENATE(VLOOKUP(A252,TEAMS,2,FALSE),TEXT(B252,"00")),PLAYERS,5,FALSE)),"k")</f>
        <v>15k</v>
      </c>
    </row>
    <row r="253" spans="1:14" ht="30" x14ac:dyDescent="0.25">
      <c r="A253" s="6" t="s">
        <v>101</v>
      </c>
      <c r="B253" s="6">
        <v>2</v>
      </c>
      <c r="D253" s="49" t="str">
        <f t="shared" si="66"/>
        <v>0-2</v>
      </c>
      <c r="E253" s="50" t="str">
        <f t="shared" si="67"/>
        <v>Fungus Flinga</v>
      </c>
      <c r="F253" s="48">
        <f t="shared" si="68"/>
        <v>5</v>
      </c>
      <c r="G253" s="48">
        <f t="shared" si="69"/>
        <v>1</v>
      </c>
      <c r="H253" s="48" t="str">
        <f t="shared" si="70"/>
        <v>3+</v>
      </c>
      <c r="I253" s="48" t="str">
        <f t="shared" si="71"/>
        <v>4+</v>
      </c>
      <c r="J253" s="48" t="str">
        <f t="shared" si="72"/>
        <v>6+</v>
      </c>
      <c r="K253" s="50" t="str">
        <f t="shared" si="73"/>
        <v>Bombardier, Dodge, Right Stuff*, Secret Weapon*, Sidestep, Stunty*</v>
      </c>
      <c r="L253" s="49" t="str">
        <f t="shared" si="74"/>
        <v>AP</v>
      </c>
      <c r="M253" s="49" t="str">
        <f t="shared" si="75"/>
        <v>G</v>
      </c>
      <c r="N253" s="48" t="str">
        <f t="shared" si="76"/>
        <v>30k</v>
      </c>
    </row>
    <row r="254" spans="1:14" x14ac:dyDescent="0.25">
      <c r="A254" s="6" t="s">
        <v>101</v>
      </c>
      <c r="B254" s="6">
        <v>3</v>
      </c>
      <c r="D254" s="49" t="str">
        <f t="shared" si="66"/>
        <v>0-2</v>
      </c>
      <c r="E254" s="50" t="str">
        <f t="shared" si="67"/>
        <v>Fun-hoppa</v>
      </c>
      <c r="F254" s="48">
        <f t="shared" si="68"/>
        <v>6</v>
      </c>
      <c r="G254" s="48">
        <f t="shared" si="69"/>
        <v>1</v>
      </c>
      <c r="H254" s="48" t="str">
        <f t="shared" si="70"/>
        <v>3+</v>
      </c>
      <c r="I254" s="48" t="str">
        <f t="shared" si="71"/>
        <v>5+</v>
      </c>
      <c r="J254" s="48" t="str">
        <f t="shared" si="72"/>
        <v>6+</v>
      </c>
      <c r="K254" s="50" t="str">
        <f t="shared" si="73"/>
        <v>Dodge, Pogo Stick, Right Stuff*, Sidestep, Stunty*</v>
      </c>
      <c r="L254" s="49" t="str">
        <f t="shared" si="74"/>
        <v>A</v>
      </c>
      <c r="M254" s="49" t="str">
        <f t="shared" si="75"/>
        <v>G</v>
      </c>
      <c r="N254" s="48" t="str">
        <f t="shared" si="76"/>
        <v>20k</v>
      </c>
    </row>
    <row r="255" spans="1:14" x14ac:dyDescent="0.25">
      <c r="A255" s="6" t="s">
        <v>101</v>
      </c>
      <c r="B255" s="6">
        <v>4</v>
      </c>
      <c r="D255" s="49" t="str">
        <f t="shared" si="66"/>
        <v>0-2</v>
      </c>
      <c r="E255" s="50" t="str">
        <f t="shared" si="67"/>
        <v>Stilty Runna</v>
      </c>
      <c r="F255" s="48">
        <f t="shared" si="68"/>
        <v>6</v>
      </c>
      <c r="G255" s="48">
        <f t="shared" si="69"/>
        <v>1</v>
      </c>
      <c r="H255" s="48" t="str">
        <f t="shared" si="70"/>
        <v>3+</v>
      </c>
      <c r="I255" s="48" t="str">
        <f t="shared" si="71"/>
        <v>5+</v>
      </c>
      <c r="J255" s="48" t="str">
        <f t="shared" si="72"/>
        <v>6+</v>
      </c>
      <c r="K255" s="50" t="str">
        <f t="shared" si="73"/>
        <v>Dodge, Right Stuff*, Sidestep, Sprint, Stunty*</v>
      </c>
      <c r="L255" s="49" t="str">
        <f t="shared" si="74"/>
        <v>A</v>
      </c>
      <c r="M255" s="49" t="str">
        <f t="shared" si="75"/>
        <v>G</v>
      </c>
      <c r="N255" s="48" t="str">
        <f t="shared" si="76"/>
        <v>20k</v>
      </c>
    </row>
    <row r="256" spans="1:14" ht="30" x14ac:dyDescent="0.25">
      <c r="A256" s="6" t="s">
        <v>101</v>
      </c>
      <c r="B256" s="6">
        <v>5</v>
      </c>
      <c r="D256" s="49" t="str">
        <f t="shared" si="66"/>
        <v>0-2</v>
      </c>
      <c r="E256" s="50" t="str">
        <f t="shared" si="67"/>
        <v>Pump Wagon</v>
      </c>
      <c r="F256" s="48">
        <f t="shared" si="68"/>
        <v>4</v>
      </c>
      <c r="G256" s="48">
        <f t="shared" si="69"/>
        <v>5</v>
      </c>
      <c r="H256" s="48" t="str">
        <f t="shared" si="70"/>
        <v>5+</v>
      </c>
      <c r="I256" s="48" t="str">
        <f t="shared" si="71"/>
        <v>-</v>
      </c>
      <c r="J256" s="48" t="str">
        <f t="shared" si="72"/>
        <v>9+</v>
      </c>
      <c r="K256" s="50" t="str">
        <f t="shared" si="73"/>
        <v>Dirty Player (+1), Juggernaut, Mighty Blow (+1), Really Stupid*, Secret Weapon*, Stand Firm</v>
      </c>
      <c r="L256" s="49" t="str">
        <f t="shared" si="74"/>
        <v>S</v>
      </c>
      <c r="M256" s="49" t="str">
        <f t="shared" si="75"/>
        <v>AG</v>
      </c>
      <c r="N256" s="48" t="str">
        <f t="shared" si="76"/>
        <v>105k</v>
      </c>
    </row>
    <row r="257" spans="1:14" ht="45" x14ac:dyDescent="0.25">
      <c r="A257" s="6" t="s">
        <v>101</v>
      </c>
      <c r="B257" s="6">
        <v>6</v>
      </c>
      <c r="D257" s="49" t="str">
        <f t="shared" si="66"/>
        <v>0-2</v>
      </c>
      <c r="E257" s="50" t="str">
        <f t="shared" si="67"/>
        <v>Trained Troll</v>
      </c>
      <c r="F257" s="48">
        <f t="shared" si="68"/>
        <v>4</v>
      </c>
      <c r="G257" s="48">
        <f t="shared" si="69"/>
        <v>5</v>
      </c>
      <c r="H257" s="48" t="str">
        <f t="shared" si="70"/>
        <v>5+</v>
      </c>
      <c r="I257" s="48" t="str">
        <f t="shared" si="71"/>
        <v>5+</v>
      </c>
      <c r="J257" s="48" t="str">
        <f t="shared" si="72"/>
        <v>10+</v>
      </c>
      <c r="K257" s="50" t="str">
        <f t="shared" si="73"/>
        <v>Always Hungry*, Loner (3+)*, Mighty Blow (+1), Projectile Vomit, Really Stupid*, Regeneration, Throw Team-mate</v>
      </c>
      <c r="L257" s="49" t="str">
        <f t="shared" si="74"/>
        <v>S</v>
      </c>
      <c r="M257" s="49" t="str">
        <f t="shared" si="75"/>
        <v>AGP</v>
      </c>
      <c r="N257" s="48" t="str">
        <f t="shared" si="76"/>
        <v>115k</v>
      </c>
    </row>
    <row r="258" spans="1:14" x14ac:dyDescent="0.25">
      <c r="D258" s="17" t="s">
        <v>580</v>
      </c>
      <c r="E258" s="17" t="str">
        <f>CONCATENATE(VLOOKUP(A250,TEAMS,5,FALSE),"k")</f>
        <v>60k</v>
      </c>
      <c r="F258" s="364" t="s">
        <v>584</v>
      </c>
      <c r="G258" s="369"/>
      <c r="H258" s="369"/>
      <c r="I258" s="365"/>
      <c r="J258" s="48" t="str">
        <f>VLOOKUP(A250,TEAMS,6,FALSE)</f>
        <v>Yes</v>
      </c>
      <c r="K258" s="366" t="s">
        <v>585</v>
      </c>
      <c r="L258" s="367"/>
      <c r="M258" s="368"/>
      <c r="N258" s="51">
        <f>VLOOKUP(A250,TEAMS,8,FALSE)</f>
        <v>6</v>
      </c>
    </row>
    <row r="259" spans="1:14" ht="36.6" customHeight="1" x14ac:dyDescent="0.25">
      <c r="D259" s="364" t="s">
        <v>586</v>
      </c>
      <c r="E259" s="365"/>
      <c r="F259" s="360" t="str">
        <f>IFERROR(VLOOKUP(LEFT(VLOOKUP(A253,TEAMS,7,FALSE),3),SpecialRules,3,FALSE) &amp; VLOOKUP(MID(VLOOKUP(A253,TEAMS,7,FALSE),4,3),SpecialRules,3,FALSE),"")</f>
        <v>Once per game, when rolling on the Argue the Call table, you may re-roll a roll of a natural 1. Bribes are 50,000 gold pieces each.</v>
      </c>
      <c r="G259" s="360"/>
      <c r="H259" s="360"/>
      <c r="I259" s="360"/>
      <c r="J259" s="360"/>
      <c r="K259" s="360"/>
      <c r="L259" s="360"/>
      <c r="M259" s="360"/>
      <c r="N259" s="360"/>
    </row>
    <row r="260" spans="1:14" x14ac:dyDescent="0.25">
      <c r="D260" s="141"/>
      <c r="E260" s="141"/>
      <c r="F260" s="142"/>
      <c r="G260" s="142"/>
      <c r="H260" s="142"/>
      <c r="I260" s="142"/>
      <c r="J260" s="142"/>
      <c r="K260" s="142"/>
      <c r="L260" s="142"/>
      <c r="M260" s="142"/>
      <c r="N260" s="142"/>
    </row>
    <row r="261" spans="1:14" ht="21" x14ac:dyDescent="0.35">
      <c r="A261" s="6" t="s">
        <v>690</v>
      </c>
      <c r="B261" s="6">
        <v>4</v>
      </c>
      <c r="D261" s="354" t="s">
        <v>690</v>
      </c>
      <c r="E261" s="355"/>
      <c r="F261" s="355"/>
      <c r="G261" s="355"/>
      <c r="H261" s="355"/>
      <c r="I261" s="355"/>
      <c r="J261" s="355"/>
      <c r="K261" s="355"/>
      <c r="L261" s="355"/>
      <c r="M261" s="355"/>
      <c r="N261" s="356"/>
    </row>
    <row r="262" spans="1:14" x14ac:dyDescent="0.25">
      <c r="A262" s="6" t="s">
        <v>690</v>
      </c>
      <c r="D262" s="17" t="s">
        <v>765</v>
      </c>
      <c r="E262" s="17" t="s">
        <v>3</v>
      </c>
      <c r="F262" s="48" t="s">
        <v>4</v>
      </c>
      <c r="G262" s="48" t="s">
        <v>5</v>
      </c>
      <c r="H262" s="48" t="s">
        <v>6</v>
      </c>
      <c r="I262" s="48" t="s">
        <v>7</v>
      </c>
      <c r="J262" s="48" t="s">
        <v>8</v>
      </c>
      <c r="K262" s="17" t="s">
        <v>566</v>
      </c>
      <c r="L262" s="17" t="s">
        <v>578</v>
      </c>
      <c r="M262" s="17" t="s">
        <v>579</v>
      </c>
      <c r="N262" s="51" t="s">
        <v>715</v>
      </c>
    </row>
    <row r="263" spans="1:14" x14ac:dyDescent="0.25">
      <c r="A263" s="6" t="s">
        <v>690</v>
      </c>
      <c r="B263" s="6">
        <v>1</v>
      </c>
      <c r="D263" s="49" t="str">
        <f>CONCATENATE("0-",VLOOKUP(CONCATENATE(VLOOKUP(A263,TEAMS,2,FALSE),TEXT(B263,"00")),PLAYERS,$D$1,FALSE),IF(VLOOKUP(CONCATENATE(VLOOKUP(A263,TEAMS,2,FALSE),TEXT(B263,"00")),PLAYERS,$D$1+1,FALSE)="BG"," *",""))</f>
        <v>0-16</v>
      </c>
      <c r="E263" s="50" t="str">
        <f>VLOOKUP(CONCATENATE(VLOOKUP(A263,TEAMS,2,FALSE),TEXT($B263,"00")),PLAYERS,E$1,FALSE)</f>
        <v>Skeleton Lineman</v>
      </c>
      <c r="F263" s="48">
        <f>VLOOKUP(CONCATENATE(VLOOKUP(A263,TEAMS,2,FALSE),TEXT($B263,"00")),PLAYERS,F$1,FALSE)</f>
        <v>5</v>
      </c>
      <c r="G263" s="48">
        <f>VLOOKUP(CONCATENATE(VLOOKUP(A263,TEAMS,2,FALSE),TEXT($B263,"00")),PLAYERS,G$1,FALSE)</f>
        <v>3</v>
      </c>
      <c r="H263" s="48" t="str">
        <f>CONCATENATE(VLOOKUP(CONCATENATE(VLOOKUP(A263,TEAMS,2,FALSE),TEXT($B263,"00")),PLAYERS,H$1,FALSE),"+")</f>
        <v>4+</v>
      </c>
      <c r="I263" s="48" t="str">
        <f>CONCATENATE(VLOOKUP(CONCATENATE(VLOOKUP(A263,TEAMS,2,FALSE),TEXT($B263,"00")),PLAYERS,I$1,FALSE),IF(VLOOKUP(CONCATENATE(VLOOKUP(A263,TEAMS,2,FALSE),TEXT($B263,"00")),PLAYERS,I$1,FALSE)="-","","+"))</f>
        <v>6+</v>
      </c>
      <c r="J263" s="48" t="str">
        <f>CONCATENATE(VLOOKUP(CONCATENATE(VLOOKUP(A263,TEAMS,2,FALSE),TEXT($B263,"00")),PLAYERS,J$1,FALSE),"+")</f>
        <v>8+</v>
      </c>
      <c r="K263" s="50" t="str">
        <f>VLOOKUP(CONCATENATE(VLOOKUP(A263,TEAMS,2,FALSE),TEXT($B263,"00")),PLAYERS,K$1,FALSE)</f>
        <v>Regeneration, Thick Skull</v>
      </c>
      <c r="L263" s="49" t="str">
        <f>VLOOKUP(CONCATENATE(VLOOKUP(A263,TEAMS,2,FALSE),TEXT($B263,"00")),PLAYERS,L$1,FALSE)</f>
        <v>G</v>
      </c>
      <c r="M263" s="49" t="str">
        <f>VLOOKUP(CONCATENATE(VLOOKUP(A263,TEAMS,2,FALSE),TEXT($B263,"00")),PLAYERS,M$1,FALSE)</f>
        <v>AS</v>
      </c>
      <c r="N263" s="48" t="str">
        <f>CONCATENATE(ABS(VLOOKUP(CONCATENATE(VLOOKUP(A263,TEAMS,2,FALSE),TEXT(B263,"00")),PLAYERS,5,FALSE)),"k")</f>
        <v>40k</v>
      </c>
    </row>
    <row r="264" spans="1:14" x14ac:dyDescent="0.25">
      <c r="A264" s="6" t="s">
        <v>690</v>
      </c>
      <c r="B264" s="6">
        <v>2</v>
      </c>
      <c r="D264" s="49" t="str">
        <f>CONCATENATE("0-",VLOOKUP(CONCATENATE(VLOOKUP(A264,TEAMS,2,FALSE),TEXT(B264,"00")),PLAYERS,$D$1,FALSE),IF(VLOOKUP(CONCATENATE(VLOOKUP(A264,TEAMS,2,FALSE),TEXT(B264,"00")),PLAYERS,$D$1+1,FALSE)="BG"," *",""))</f>
        <v>0-2</v>
      </c>
      <c r="E264" s="50" t="str">
        <f>VLOOKUP(CONCATENATE(VLOOKUP(A264,TEAMS,2,FALSE),TEXT($B264,"00")),PLAYERS,E$1,FALSE)</f>
        <v>Anointed Thrower</v>
      </c>
      <c r="F264" s="48">
        <f>VLOOKUP(CONCATENATE(VLOOKUP(A264,TEAMS,2,FALSE),TEXT($B264,"00")),PLAYERS,F$1,FALSE)</f>
        <v>6</v>
      </c>
      <c r="G264" s="48">
        <f>VLOOKUP(CONCATENATE(VLOOKUP(A264,TEAMS,2,FALSE),TEXT($B264,"00")),PLAYERS,G$1,FALSE)</f>
        <v>3</v>
      </c>
      <c r="H264" s="48" t="str">
        <f>CONCATENATE(VLOOKUP(CONCATENATE(VLOOKUP(A264,TEAMS,2,FALSE),TEXT($B264,"00")),PLAYERS,H$1,FALSE),"+")</f>
        <v>4+</v>
      </c>
      <c r="I264" s="48" t="str">
        <f>CONCATENATE(VLOOKUP(CONCATENATE(VLOOKUP(A264,TEAMS,2,FALSE),TEXT($B264,"00")),PLAYERS,I$1,FALSE),IF(VLOOKUP(CONCATENATE(VLOOKUP(A264,TEAMS,2,FALSE),TEXT($B264,"00")),PLAYERS,I$1,FALSE)="-","","+"))</f>
        <v>3+</v>
      </c>
      <c r="J264" s="48" t="str">
        <f>CONCATENATE(VLOOKUP(CONCATENATE(VLOOKUP(A264,TEAMS,2,FALSE),TEXT($B264,"00")),PLAYERS,J$1,FALSE),"+")</f>
        <v>8+</v>
      </c>
      <c r="K264" s="50" t="str">
        <f>VLOOKUP(CONCATENATE(VLOOKUP(A264,TEAMS,2,FALSE),TEXT($B264,"00")),PLAYERS,K$1,FALSE)</f>
        <v>Pass, Regeneration, Sure Hands, Thick Skull</v>
      </c>
      <c r="L264" s="49" t="str">
        <f>VLOOKUP(CONCATENATE(VLOOKUP(A264,TEAMS,2,FALSE),TEXT($B264,"00")),PLAYERS,L$1,FALSE)</f>
        <v>GP</v>
      </c>
      <c r="M264" s="49" t="str">
        <f>VLOOKUP(CONCATENATE(VLOOKUP(A264,TEAMS,2,FALSE),TEXT($B264,"00")),PLAYERS,M$1,FALSE)</f>
        <v>A</v>
      </c>
      <c r="N264" s="48" t="str">
        <f>CONCATENATE(ABS(VLOOKUP(CONCATENATE(VLOOKUP(A264,TEAMS,2,FALSE),TEXT(B264,"00")),PLAYERS,5,FALSE)),"k")</f>
        <v>70k</v>
      </c>
    </row>
    <row r="265" spans="1:14" x14ac:dyDescent="0.25">
      <c r="A265" s="6" t="s">
        <v>690</v>
      </c>
      <c r="B265" s="6">
        <v>3</v>
      </c>
      <c r="D265" s="49" t="str">
        <f>CONCATENATE("0-",VLOOKUP(CONCATENATE(VLOOKUP(A265,TEAMS,2,FALSE),TEXT(B265,"00")),PLAYERS,$D$1,FALSE),IF(VLOOKUP(CONCATENATE(VLOOKUP(A265,TEAMS,2,FALSE),TEXT(B265,"00")),PLAYERS,$D$1+1,FALSE)="BG"," *",""))</f>
        <v>0-2</v>
      </c>
      <c r="E265" s="50" t="str">
        <f>VLOOKUP(CONCATENATE(VLOOKUP(A265,TEAMS,2,FALSE),TEXT($B265,"00")),PLAYERS,E$1,FALSE)</f>
        <v>Anointed Blitzer</v>
      </c>
      <c r="F265" s="48">
        <f>VLOOKUP(CONCATENATE(VLOOKUP(A265,TEAMS,2,FALSE),TEXT($B265,"00")),PLAYERS,F$1,FALSE)</f>
        <v>6</v>
      </c>
      <c r="G265" s="48">
        <f>VLOOKUP(CONCATENATE(VLOOKUP(A265,TEAMS,2,FALSE),TEXT($B265,"00")),PLAYERS,G$1,FALSE)</f>
        <v>3</v>
      </c>
      <c r="H265" s="48" t="str">
        <f>CONCATENATE(VLOOKUP(CONCATENATE(VLOOKUP(A265,TEAMS,2,FALSE),TEXT($B265,"00")),PLAYERS,H$1,FALSE),"+")</f>
        <v>4+</v>
      </c>
      <c r="I265" s="48" t="str">
        <f>CONCATENATE(VLOOKUP(CONCATENATE(VLOOKUP(A265,TEAMS,2,FALSE),TEXT($B265,"00")),PLAYERS,I$1,FALSE),IF(VLOOKUP(CONCATENATE(VLOOKUP(A265,TEAMS,2,FALSE),TEXT($B265,"00")),PLAYERS,I$1,FALSE)="-","","+"))</f>
        <v>6+</v>
      </c>
      <c r="J265" s="48" t="str">
        <f>CONCATENATE(VLOOKUP(CONCATENATE(VLOOKUP(A265,TEAMS,2,FALSE),TEXT($B265,"00")),PLAYERS,J$1,FALSE),"+")</f>
        <v>9+</v>
      </c>
      <c r="K265" s="50" t="str">
        <f>VLOOKUP(CONCATENATE(VLOOKUP(A265,TEAMS,2,FALSE),TEXT($B265,"00")),PLAYERS,K$1,FALSE)</f>
        <v>Block, Regeneration, Thick Skull</v>
      </c>
      <c r="L265" s="49" t="str">
        <f>VLOOKUP(CONCATENATE(VLOOKUP(A265,TEAMS,2,FALSE),TEXT($B265,"00")),PLAYERS,L$1,FALSE)</f>
        <v>GS</v>
      </c>
      <c r="M265" s="49" t="str">
        <f>VLOOKUP(CONCATENATE(VLOOKUP(A265,TEAMS,2,FALSE),TEXT($B265,"00")),PLAYERS,M$1,FALSE)</f>
        <v>AP</v>
      </c>
      <c r="N265" s="48" t="str">
        <f>CONCATENATE(ABS(VLOOKUP(CONCATENATE(VLOOKUP(A265,TEAMS,2,FALSE),TEXT(B265,"00")),PLAYERS,5,FALSE)),"k")</f>
        <v>90k</v>
      </c>
    </row>
    <row r="266" spans="1:14" x14ac:dyDescent="0.25">
      <c r="A266" s="6" t="s">
        <v>690</v>
      </c>
      <c r="B266" s="6">
        <v>4</v>
      </c>
      <c r="D266" s="49" t="str">
        <f>CONCATENATE("0-",VLOOKUP(CONCATENATE(VLOOKUP(A266,TEAMS,2,FALSE),TEXT(B266,"00")),PLAYERS,$D$1,FALSE),IF(VLOOKUP(CONCATENATE(VLOOKUP(A266,TEAMS,2,FALSE),TEXT(B266,"00")),PLAYERS,$D$1+1,FALSE)="BG"," *",""))</f>
        <v>0-4</v>
      </c>
      <c r="E266" s="50" t="str">
        <f>VLOOKUP(CONCATENATE(VLOOKUP(A266,TEAMS,2,FALSE),TEXT($B266,"00")),PLAYERS,E$1,FALSE)</f>
        <v>Tomb Guardian</v>
      </c>
      <c r="F266" s="48">
        <f>VLOOKUP(CONCATENATE(VLOOKUP(A266,TEAMS,2,FALSE),TEXT($B266,"00")),PLAYERS,F$1,FALSE)</f>
        <v>4</v>
      </c>
      <c r="G266" s="48">
        <f>VLOOKUP(CONCATENATE(VLOOKUP(A266,TEAMS,2,FALSE),TEXT($B266,"00")),PLAYERS,G$1,FALSE)</f>
        <v>5</v>
      </c>
      <c r="H266" s="48" t="str">
        <f>CONCATENATE(VLOOKUP(CONCATENATE(VLOOKUP(A266,TEAMS,2,FALSE),TEXT($B266,"00")),PLAYERS,H$1,FALSE),"+")</f>
        <v>5+</v>
      </c>
      <c r="I266" s="48" t="str">
        <f>CONCATENATE(VLOOKUP(CONCATENATE(VLOOKUP(A266,TEAMS,2,FALSE),TEXT($B266,"00")),PLAYERS,I$1,FALSE),IF(VLOOKUP(CONCATENATE(VLOOKUP(A266,TEAMS,2,FALSE),TEXT($B266,"00")),PLAYERS,I$1,FALSE)="-","","+"))</f>
        <v>-</v>
      </c>
      <c r="J266" s="48" t="str">
        <f>CONCATENATE(VLOOKUP(CONCATENATE(VLOOKUP(A266,TEAMS,2,FALSE),TEXT($B266,"00")),PLAYERS,J$1,FALSE),"+")</f>
        <v>10+</v>
      </c>
      <c r="K266" s="50" t="str">
        <f>VLOOKUP(CONCATENATE(VLOOKUP(A266,TEAMS,2,FALSE),TEXT($B266,"00")),PLAYERS,K$1,FALSE)</f>
        <v>Decay*, Regeneration</v>
      </c>
      <c r="L266" s="49" t="str">
        <f>VLOOKUP(CONCATENATE(VLOOKUP(A266,TEAMS,2,FALSE),TEXT($B266,"00")),PLAYERS,L$1,FALSE)</f>
        <v>S</v>
      </c>
      <c r="M266" s="49" t="str">
        <f>VLOOKUP(CONCATENATE(VLOOKUP(A266,TEAMS,2,FALSE),TEXT($B266,"00")),PLAYERS,M$1,FALSE)</f>
        <v>AG</v>
      </c>
      <c r="N266" s="48" t="str">
        <f>CONCATENATE(ABS(VLOOKUP(CONCATENATE(VLOOKUP(A266,TEAMS,2,FALSE),TEXT(B266,"00")),PLAYERS,5,FALSE)),"k")</f>
        <v>100k</v>
      </c>
    </row>
    <row r="267" spans="1:14" x14ac:dyDescent="0.25">
      <c r="D267" s="17" t="s">
        <v>580</v>
      </c>
      <c r="E267" s="17" t="str">
        <f>CONCATENATE(VLOOKUP(A261,TEAMS,5,FALSE),"k")</f>
        <v>70k</v>
      </c>
      <c r="F267" s="364" t="s">
        <v>584</v>
      </c>
      <c r="G267" s="369"/>
      <c r="H267" s="369"/>
      <c r="I267" s="365"/>
      <c r="J267" s="48" t="str">
        <f>VLOOKUP(A261,TEAMS,6,FALSE)</f>
        <v>No</v>
      </c>
      <c r="K267" s="366" t="s">
        <v>585</v>
      </c>
      <c r="L267" s="367"/>
      <c r="M267" s="368"/>
      <c r="N267" s="51">
        <f>VLOOKUP(A261,TEAMS,8,FALSE)</f>
        <v>3</v>
      </c>
    </row>
    <row r="268" spans="1:14" x14ac:dyDescent="0.25">
      <c r="D268" s="364" t="s">
        <v>586</v>
      </c>
      <c r="E268" s="365"/>
      <c r="F268" s="360" t="str">
        <f>IFERROR(VLOOKUP(LEFT(VLOOKUP(A262,TEAMS,7,FALSE),3),SpecialRules,3,FALSE) &amp; VLOOKUP(MID(VLOOKUP(A262,TEAMS,7,FALSE),4,3),SpecialRules,3,FALSE),"")</f>
        <v/>
      </c>
      <c r="G268" s="360"/>
      <c r="H268" s="360"/>
      <c r="I268" s="360"/>
      <c r="J268" s="360"/>
      <c r="K268" s="360"/>
      <c r="L268" s="360"/>
      <c r="M268" s="360"/>
      <c r="N268" s="360"/>
    </row>
    <row r="269" spans="1:14" x14ac:dyDescent="0.25">
      <c r="D269" s="141"/>
      <c r="E269" s="141"/>
      <c r="F269" s="142"/>
      <c r="G269" s="142"/>
      <c r="H269" s="142"/>
      <c r="I269" s="142"/>
      <c r="J269" s="142"/>
      <c r="K269" s="142"/>
      <c r="L269" s="142"/>
      <c r="M269" s="142"/>
      <c r="N269" s="142"/>
    </row>
    <row r="270" spans="1:14" ht="21" x14ac:dyDescent="0.35">
      <c r="A270" s="6" t="s">
        <v>102</v>
      </c>
      <c r="B270" s="6">
        <v>8</v>
      </c>
      <c r="D270" s="354" t="str">
        <f>A270</f>
        <v>Underworld Denizens</v>
      </c>
      <c r="E270" s="355"/>
      <c r="F270" s="355"/>
      <c r="G270" s="355"/>
      <c r="H270" s="355"/>
      <c r="I270" s="355"/>
      <c r="J270" s="355"/>
      <c r="K270" s="355"/>
      <c r="L270" s="355"/>
      <c r="M270" s="355"/>
      <c r="N270" s="356"/>
    </row>
    <row r="271" spans="1:14" x14ac:dyDescent="0.25">
      <c r="A271" s="6" t="s">
        <v>102</v>
      </c>
      <c r="D271" s="17" t="s">
        <v>765</v>
      </c>
      <c r="E271" s="17" t="s">
        <v>3</v>
      </c>
      <c r="F271" s="48" t="s">
        <v>4</v>
      </c>
      <c r="G271" s="48" t="s">
        <v>5</v>
      </c>
      <c r="H271" s="48" t="s">
        <v>6</v>
      </c>
      <c r="I271" s="48" t="s">
        <v>7</v>
      </c>
      <c r="J271" s="48" t="s">
        <v>8</v>
      </c>
      <c r="K271" s="17" t="s">
        <v>566</v>
      </c>
      <c r="L271" s="17" t="s">
        <v>578</v>
      </c>
      <c r="M271" s="17" t="s">
        <v>579</v>
      </c>
      <c r="N271" s="51" t="s">
        <v>715</v>
      </c>
    </row>
    <row r="272" spans="1:14" ht="30" x14ac:dyDescent="0.25">
      <c r="A272" s="6" t="s">
        <v>102</v>
      </c>
      <c r="B272" s="6">
        <v>1</v>
      </c>
      <c r="D272" s="49" t="str">
        <f t="shared" ref="D272:D279" si="77">CONCATENATE("0-",VLOOKUP(CONCATENATE(VLOOKUP(A272,TEAMS,2,FALSE),TEXT(B272,"00")),PLAYERS,$D$1,FALSE),IF(VLOOKUP(CONCATENATE(VLOOKUP(A272,TEAMS,2,FALSE),TEXT(B272,"00")),PLAYERS,$D$1+1,FALSE)="BG"," *",""))</f>
        <v>0-12</v>
      </c>
      <c r="E272" s="50" t="str">
        <f t="shared" ref="E272:E279" si="78">VLOOKUP(CONCATENATE(VLOOKUP(A272,TEAMS,2,FALSE),TEXT($B272,"00")),PLAYERS,E$1,FALSE)</f>
        <v>Underworld Goblin Lineman</v>
      </c>
      <c r="F272" s="48">
        <f t="shared" ref="F272:F279" si="79">VLOOKUP(CONCATENATE(VLOOKUP(A272,TEAMS,2,FALSE),TEXT($B272,"00")),PLAYERS,F$1,FALSE)</f>
        <v>6</v>
      </c>
      <c r="G272" s="48">
        <f t="shared" ref="G272:G279" si="80">VLOOKUP(CONCATENATE(VLOOKUP(A272,TEAMS,2,FALSE),TEXT($B272,"00")),PLAYERS,G$1,FALSE)</f>
        <v>2</v>
      </c>
      <c r="H272" s="48" t="str">
        <f t="shared" ref="H272:H279" si="81">CONCATENATE(VLOOKUP(CONCATENATE(VLOOKUP(A272,TEAMS,2,FALSE),TEXT($B272,"00")),PLAYERS,H$1,FALSE),"+")</f>
        <v>3+</v>
      </c>
      <c r="I272" s="48" t="str">
        <f t="shared" ref="I272:I279" si="82">CONCATENATE(VLOOKUP(CONCATENATE(VLOOKUP(A272,TEAMS,2,FALSE),TEXT($B272,"00")),PLAYERS,I$1,FALSE),IF(VLOOKUP(CONCATENATE(VLOOKUP(A272,TEAMS,2,FALSE),TEXT($B272,"00")),PLAYERS,I$1,FALSE)="-","","+"))</f>
        <v>4+</v>
      </c>
      <c r="J272" s="48" t="str">
        <f t="shared" ref="J272:J279" si="83">CONCATENATE(VLOOKUP(CONCATENATE(VLOOKUP(A272,TEAMS,2,FALSE),TEXT($B272,"00")),PLAYERS,J$1,FALSE),"+")</f>
        <v>8+</v>
      </c>
      <c r="K272" s="50" t="str">
        <f t="shared" ref="K272:K279" si="84">VLOOKUP(CONCATENATE(VLOOKUP(A272,TEAMS,2,FALSE),TEXT($B272,"00")),PLAYERS,K$1,FALSE)</f>
        <v>Dodge, Right Stuff*, Stunty*</v>
      </c>
      <c r="L272" s="49" t="str">
        <f t="shared" ref="L272:L279" si="85">VLOOKUP(CONCATENATE(VLOOKUP(A272,TEAMS,2,FALSE),TEXT($B272,"00")),PLAYERS,L$1,FALSE)</f>
        <v>AM</v>
      </c>
      <c r="M272" s="49" t="str">
        <f t="shared" ref="M272:M279" si="86">VLOOKUP(CONCATENATE(VLOOKUP(A272,TEAMS,2,FALSE),TEXT($B272,"00")),PLAYERS,M$1,FALSE)</f>
        <v>GS</v>
      </c>
      <c r="N272" s="48" t="str">
        <f t="shared" ref="N272:N279" si="87">CONCATENATE(ABS(VLOOKUP(CONCATENATE(VLOOKUP(A272,TEAMS,2,FALSE),TEXT(B272,"00")),PLAYERS,5,FALSE)),"k")</f>
        <v>40k</v>
      </c>
    </row>
    <row r="273" spans="1:14" ht="30" x14ac:dyDescent="0.25">
      <c r="A273" s="6" t="s">
        <v>102</v>
      </c>
      <c r="B273" s="6">
        <v>2</v>
      </c>
      <c r="D273" s="49" t="str">
        <f t="shared" si="77"/>
        <v>0-6</v>
      </c>
      <c r="E273" s="50" t="str">
        <f t="shared" si="78"/>
        <v>Underworld Snotling</v>
      </c>
      <c r="F273" s="48">
        <f t="shared" si="79"/>
        <v>5</v>
      </c>
      <c r="G273" s="48">
        <f t="shared" si="80"/>
        <v>1</v>
      </c>
      <c r="H273" s="48" t="str">
        <f t="shared" si="81"/>
        <v>3+</v>
      </c>
      <c r="I273" s="48" t="str">
        <f t="shared" si="82"/>
        <v>5+</v>
      </c>
      <c r="J273" s="48" t="str">
        <f t="shared" si="83"/>
        <v>6+</v>
      </c>
      <c r="K273" s="50" t="str">
        <f t="shared" si="84"/>
        <v>Dodge, Right Stuff*, Sidestep, Stunty*, Swarming, Titchy*</v>
      </c>
      <c r="L273" s="49" t="str">
        <f t="shared" si="85"/>
        <v>AM</v>
      </c>
      <c r="M273" s="49" t="str">
        <f t="shared" si="86"/>
        <v>G</v>
      </c>
      <c r="N273" s="48" t="str">
        <f t="shared" si="87"/>
        <v>15k</v>
      </c>
    </row>
    <row r="274" spans="1:14" x14ac:dyDescent="0.25">
      <c r="A274" s="6" t="s">
        <v>102</v>
      </c>
      <c r="B274" s="6">
        <v>3</v>
      </c>
      <c r="D274" s="49" t="str">
        <f t="shared" si="77"/>
        <v>0-3</v>
      </c>
      <c r="E274" s="50" t="str">
        <f t="shared" si="78"/>
        <v>Underworld Clanrat</v>
      </c>
      <c r="F274" s="48">
        <f t="shared" si="79"/>
        <v>7</v>
      </c>
      <c r="G274" s="48">
        <f t="shared" si="80"/>
        <v>3</v>
      </c>
      <c r="H274" s="48" t="str">
        <f t="shared" si="81"/>
        <v>3+</v>
      </c>
      <c r="I274" s="48" t="str">
        <f t="shared" si="82"/>
        <v>4+</v>
      </c>
      <c r="J274" s="48" t="str">
        <f t="shared" si="83"/>
        <v>8+</v>
      </c>
      <c r="K274" s="50" t="str">
        <f t="shared" si="84"/>
        <v>Animosity (GO)*</v>
      </c>
      <c r="L274" s="49" t="str">
        <f t="shared" si="85"/>
        <v>GM</v>
      </c>
      <c r="M274" s="49" t="str">
        <f t="shared" si="86"/>
        <v>AS</v>
      </c>
      <c r="N274" s="48" t="str">
        <f t="shared" si="87"/>
        <v>50k</v>
      </c>
    </row>
    <row r="275" spans="1:14" ht="30" x14ac:dyDescent="0.25">
      <c r="A275" s="6" t="s">
        <v>102</v>
      </c>
      <c r="B275" s="6">
        <v>4</v>
      </c>
      <c r="D275" s="49" t="str">
        <f t="shared" si="77"/>
        <v>0-1</v>
      </c>
      <c r="E275" s="50" t="str">
        <f t="shared" si="78"/>
        <v>Underworld Skaven Thrower</v>
      </c>
      <c r="F275" s="48">
        <f t="shared" si="79"/>
        <v>7</v>
      </c>
      <c r="G275" s="48">
        <f t="shared" si="80"/>
        <v>3</v>
      </c>
      <c r="H275" s="48" t="str">
        <f t="shared" si="81"/>
        <v>3+</v>
      </c>
      <c r="I275" s="48" t="str">
        <f t="shared" si="82"/>
        <v>2+</v>
      </c>
      <c r="J275" s="48" t="str">
        <f t="shared" si="83"/>
        <v>8+</v>
      </c>
      <c r="K275" s="50" t="str">
        <f t="shared" si="84"/>
        <v>Animosity (GO)*, Pass, Sure Hands</v>
      </c>
      <c r="L275" s="49" t="str">
        <f t="shared" si="85"/>
        <v>GMP</v>
      </c>
      <c r="M275" s="49" t="str">
        <f t="shared" si="86"/>
        <v>AS</v>
      </c>
      <c r="N275" s="48" t="str">
        <f t="shared" si="87"/>
        <v>85k</v>
      </c>
    </row>
    <row r="276" spans="1:14" ht="30" x14ac:dyDescent="0.25">
      <c r="A276" s="6" t="s">
        <v>102</v>
      </c>
      <c r="B276" s="6">
        <v>5</v>
      </c>
      <c r="D276" s="49" t="str">
        <f t="shared" si="77"/>
        <v>0-1</v>
      </c>
      <c r="E276" s="50" t="str">
        <f t="shared" si="78"/>
        <v>Underworld Gutter Runner</v>
      </c>
      <c r="F276" s="48">
        <f t="shared" si="79"/>
        <v>9</v>
      </c>
      <c r="G276" s="48">
        <f t="shared" si="80"/>
        <v>2</v>
      </c>
      <c r="H276" s="48" t="str">
        <f t="shared" si="81"/>
        <v>2+</v>
      </c>
      <c r="I276" s="48" t="str">
        <f t="shared" si="82"/>
        <v>4+</v>
      </c>
      <c r="J276" s="48" t="str">
        <f t="shared" si="83"/>
        <v>8+</v>
      </c>
      <c r="K276" s="50" t="str">
        <f t="shared" si="84"/>
        <v>Animosity (GO)*, Dodge</v>
      </c>
      <c r="L276" s="49" t="str">
        <f t="shared" si="85"/>
        <v>AGM</v>
      </c>
      <c r="M276" s="49" t="str">
        <f t="shared" si="86"/>
        <v>PS</v>
      </c>
      <c r="N276" s="48" t="str">
        <f t="shared" si="87"/>
        <v>85k</v>
      </c>
    </row>
    <row r="277" spans="1:14" ht="30" x14ac:dyDescent="0.25">
      <c r="A277" s="6" t="s">
        <v>102</v>
      </c>
      <c r="B277" s="6">
        <v>6</v>
      </c>
      <c r="D277" s="49" t="str">
        <f t="shared" si="77"/>
        <v>0-1</v>
      </c>
      <c r="E277" s="50" t="str">
        <f t="shared" si="78"/>
        <v>Underworld Skaven Blitzer</v>
      </c>
      <c r="F277" s="48">
        <f t="shared" si="79"/>
        <v>7</v>
      </c>
      <c r="G277" s="48">
        <f t="shared" si="80"/>
        <v>3</v>
      </c>
      <c r="H277" s="48" t="str">
        <f t="shared" si="81"/>
        <v>3+</v>
      </c>
      <c r="I277" s="48" t="str">
        <f t="shared" si="82"/>
        <v>5+</v>
      </c>
      <c r="J277" s="48" t="str">
        <f t="shared" si="83"/>
        <v>9+</v>
      </c>
      <c r="K277" s="50" t="str">
        <f t="shared" si="84"/>
        <v>Animosity (GO)*, Block</v>
      </c>
      <c r="L277" s="49" t="str">
        <f t="shared" si="85"/>
        <v>GMS</v>
      </c>
      <c r="M277" s="49" t="str">
        <f t="shared" si="86"/>
        <v>AP</v>
      </c>
      <c r="N277" s="48" t="str">
        <f t="shared" si="87"/>
        <v>90k</v>
      </c>
    </row>
    <row r="278" spans="1:14" ht="45" x14ac:dyDescent="0.25">
      <c r="A278" s="6" t="s">
        <v>102</v>
      </c>
      <c r="B278" s="6">
        <v>7</v>
      </c>
      <c r="D278" s="49" t="str">
        <f t="shared" si="77"/>
        <v>0-1 *</v>
      </c>
      <c r="E278" s="50" t="str">
        <f t="shared" si="78"/>
        <v>Underworld Troll</v>
      </c>
      <c r="F278" s="48">
        <f t="shared" si="79"/>
        <v>4</v>
      </c>
      <c r="G278" s="48">
        <f t="shared" si="80"/>
        <v>5</v>
      </c>
      <c r="H278" s="48" t="str">
        <f t="shared" si="81"/>
        <v>5+</v>
      </c>
      <c r="I278" s="48" t="str">
        <f t="shared" si="82"/>
        <v>5+</v>
      </c>
      <c r="J278" s="48" t="str">
        <f t="shared" si="83"/>
        <v>10+</v>
      </c>
      <c r="K278" s="50" t="str">
        <f t="shared" si="84"/>
        <v>Always Hungry*, Loner (4+)*, Mighty Blow (+1), Projectile Vomit, Really Stupid*, Regeneration, Throw Team-mate</v>
      </c>
      <c r="L278" s="49" t="str">
        <f t="shared" si="85"/>
        <v>MS</v>
      </c>
      <c r="M278" s="49" t="str">
        <f t="shared" si="86"/>
        <v>AGP</v>
      </c>
      <c r="N278" s="48" t="str">
        <f t="shared" si="87"/>
        <v>115k</v>
      </c>
    </row>
    <row r="279" spans="1:14" ht="30" x14ac:dyDescent="0.25">
      <c r="A279" s="6" t="s">
        <v>102</v>
      </c>
      <c r="B279" s="6">
        <v>8</v>
      </c>
      <c r="D279" s="49" t="str">
        <f t="shared" si="77"/>
        <v>0-1 *</v>
      </c>
      <c r="E279" s="50" t="str">
        <f t="shared" si="78"/>
        <v>Mutant Rat Ogre</v>
      </c>
      <c r="F279" s="48">
        <f t="shared" si="79"/>
        <v>6</v>
      </c>
      <c r="G279" s="48">
        <f t="shared" si="80"/>
        <v>5</v>
      </c>
      <c r="H279" s="48" t="str">
        <f t="shared" si="81"/>
        <v>4+</v>
      </c>
      <c r="I279" s="48" t="str">
        <f t="shared" si="82"/>
        <v>-</v>
      </c>
      <c r="J279" s="48" t="str">
        <f t="shared" si="83"/>
        <v>9+</v>
      </c>
      <c r="K279" s="50" t="str">
        <f t="shared" si="84"/>
        <v>Animal Savagery*, Frenzy*, Loner (4+)*, Mighty Blow (+1), Prehensile Tail</v>
      </c>
      <c r="L279" s="49" t="str">
        <f t="shared" si="85"/>
        <v>MS</v>
      </c>
      <c r="M279" s="49" t="str">
        <f t="shared" si="86"/>
        <v>AG</v>
      </c>
      <c r="N279" s="48" t="str">
        <f t="shared" si="87"/>
        <v>150k</v>
      </c>
    </row>
    <row r="280" spans="1:14" x14ac:dyDescent="0.25">
      <c r="D280" s="17" t="s">
        <v>580</v>
      </c>
      <c r="E280" s="17" t="str">
        <f>CONCATENATE(VLOOKUP(A270,TEAMS,5,FALSE),"k")</f>
        <v>70k</v>
      </c>
      <c r="F280" s="364" t="s">
        <v>584</v>
      </c>
      <c r="G280" s="369"/>
      <c r="H280" s="369"/>
      <c r="I280" s="365"/>
      <c r="J280" s="48" t="str">
        <f>VLOOKUP(A270,TEAMS,6,FALSE)</f>
        <v>Yes</v>
      </c>
      <c r="K280" s="366" t="s">
        <v>585</v>
      </c>
      <c r="L280" s="367"/>
      <c r="M280" s="368"/>
      <c r="N280" s="51">
        <f>VLOOKUP(A270,TEAMS,8,FALSE)</f>
        <v>1</v>
      </c>
    </row>
    <row r="281" spans="1:14" ht="30" customHeight="1" x14ac:dyDescent="0.25">
      <c r="D281" s="364" t="s">
        <v>586</v>
      </c>
      <c r="E281" s="365"/>
      <c r="F281" s="360" t="str">
        <f>IFERROR(VLOOKUP(LEFT(VLOOKUP(A275,TEAMS,7,FALSE),3),SpecialRules,3,FALSE) &amp; VLOOKUP(MID(VLOOKUP(A275,TEAMS,7,FALSE),4,3),SpecialRules,3,FALSE),"")</f>
        <v>Once per game, when rolling on the Argue the Call table, you may re-roll a roll of a natural 1. Bribes are 50,000 gold pieces each.</v>
      </c>
      <c r="G281" s="360"/>
      <c r="H281" s="360"/>
      <c r="I281" s="360"/>
      <c r="J281" s="360"/>
      <c r="K281" s="360"/>
      <c r="L281" s="360"/>
      <c r="M281" s="360"/>
      <c r="N281" s="360"/>
    </row>
    <row r="282" spans="1:14" x14ac:dyDescent="0.25">
      <c r="D282" s="362" t="s">
        <v>588</v>
      </c>
      <c r="E282" s="362"/>
      <c r="F282" s="362"/>
      <c r="G282" s="362"/>
      <c r="H282" s="362"/>
      <c r="I282" s="362"/>
      <c r="J282" s="362"/>
      <c r="K282" s="362"/>
      <c r="L282" s="362"/>
      <c r="M282" s="362"/>
      <c r="N282" s="362"/>
    </row>
    <row r="283" spans="1:14" x14ac:dyDescent="0.25">
      <c r="D283" s="148"/>
      <c r="E283" s="148"/>
      <c r="F283" s="148"/>
      <c r="G283" s="148"/>
      <c r="H283" s="148"/>
      <c r="I283" s="148"/>
      <c r="J283" s="148"/>
      <c r="K283" s="148"/>
      <c r="L283" s="148"/>
      <c r="M283" s="148"/>
      <c r="N283" s="148"/>
    </row>
    <row r="284" spans="1:14" ht="21" x14ac:dyDescent="0.35">
      <c r="A284" s="6" t="s">
        <v>98</v>
      </c>
      <c r="B284" s="6">
        <v>5</v>
      </c>
      <c r="D284" s="354" t="str">
        <f>A284</f>
        <v>Vampire</v>
      </c>
      <c r="E284" s="355"/>
      <c r="F284" s="355"/>
      <c r="G284" s="355"/>
      <c r="H284" s="355"/>
      <c r="I284" s="355"/>
      <c r="J284" s="355"/>
      <c r="K284" s="355"/>
      <c r="L284" s="355"/>
      <c r="M284" s="355"/>
      <c r="N284" s="356"/>
    </row>
    <row r="285" spans="1:14" x14ac:dyDescent="0.25">
      <c r="A285" s="6" t="s">
        <v>98</v>
      </c>
      <c r="D285" s="17" t="s">
        <v>765</v>
      </c>
      <c r="E285" s="17" t="s">
        <v>3</v>
      </c>
      <c r="F285" s="48" t="s">
        <v>4</v>
      </c>
      <c r="G285" s="48" t="s">
        <v>5</v>
      </c>
      <c r="H285" s="48" t="s">
        <v>6</v>
      </c>
      <c r="I285" s="48" t="s">
        <v>7</v>
      </c>
      <c r="J285" s="48" t="s">
        <v>8</v>
      </c>
      <c r="K285" s="17" t="s">
        <v>566</v>
      </c>
      <c r="L285" s="17" t="s">
        <v>578</v>
      </c>
      <c r="M285" s="17" t="s">
        <v>579</v>
      </c>
      <c r="N285" s="51" t="s">
        <v>715</v>
      </c>
    </row>
    <row r="286" spans="1:14" x14ac:dyDescent="0.25">
      <c r="A286" s="6" t="s">
        <v>98</v>
      </c>
      <c r="B286" s="6">
        <v>1</v>
      </c>
      <c r="D286" s="49" t="str">
        <f>CONCATENATE("0-",VLOOKUP(CONCATENATE(VLOOKUP(A286,TEAMS,2,FALSE),TEXT(B286,"00")),PLAYERS,$D$1,FALSE),IF(VLOOKUP(CONCATENATE(VLOOKUP(A286,TEAMS,2,FALSE),TEXT(B286,"00")),PLAYERS,$D$1+1,FALSE)="BG"," *",""))</f>
        <v>0-16</v>
      </c>
      <c r="E286" s="50" t="str">
        <f>VLOOKUP(CONCATENATE(VLOOKUP(A286,TEAMS,2,FALSE),TEXT($B286,"00")),PLAYERS,E$1,FALSE)</f>
        <v>Thrall Lineman</v>
      </c>
      <c r="F286" s="48">
        <f>VLOOKUP(CONCATENATE(VLOOKUP(A286,TEAMS,2,FALSE),TEXT($B286,"00")),PLAYERS,F$1,FALSE)</f>
        <v>6</v>
      </c>
      <c r="G286" s="48">
        <f>VLOOKUP(CONCATENATE(VLOOKUP(A286,TEAMS,2,FALSE),TEXT($B286,"00")),PLAYERS,G$1,FALSE)</f>
        <v>3</v>
      </c>
      <c r="H286" s="48" t="str">
        <f>CONCATENATE(VLOOKUP(CONCATENATE(VLOOKUP(A286,TEAMS,2,FALSE),TEXT($B286,"00")),PLAYERS,H$1,FALSE),"+")</f>
        <v>3+</v>
      </c>
      <c r="I286" s="48" t="str">
        <f>CONCATENATE(VLOOKUP(CONCATENATE(VLOOKUP(A286,TEAMS,2,FALSE),TEXT($B286,"00")),PLAYERS,I$1,FALSE),IF(VLOOKUP(CONCATENATE(VLOOKUP(A286,TEAMS,2,FALSE),TEXT($B286,"00")),PLAYERS,I$1,FALSE)="-","","+"))</f>
        <v>4+</v>
      </c>
      <c r="J286" s="48" t="str">
        <f>CONCATENATE(VLOOKUP(CONCATENATE(VLOOKUP(A286,TEAMS,2,FALSE),TEXT($B286,"00")),PLAYERS,J$1,FALSE),"+")</f>
        <v>8+</v>
      </c>
      <c r="K286" s="50" t="str">
        <f>VLOOKUP(CONCATENATE(VLOOKUP(A286,TEAMS,2,FALSE),TEXT($B286,"00")),PLAYERS,K$1,FALSE)</f>
        <v>None</v>
      </c>
      <c r="L286" s="49" t="str">
        <f>VLOOKUP(CONCATENATE(VLOOKUP(A286,TEAMS,2,FALSE),TEXT($B286,"00")),PLAYERS,L$1,FALSE)</f>
        <v>G</v>
      </c>
      <c r="M286" s="49" t="str">
        <f>VLOOKUP(CONCATENATE(VLOOKUP(A286,TEAMS,2,FALSE),TEXT($B286,"00")),PLAYERS,M$1,FALSE)</f>
        <v>AS</v>
      </c>
      <c r="N286" s="48" t="str">
        <f>CONCATENATE(ABS(VLOOKUP(CONCATENATE(VLOOKUP(A286,TEAMS,2,FALSE),TEXT(B286,"00")),PLAYERS,5,FALSE)),"k")</f>
        <v>40k</v>
      </c>
    </row>
    <row r="287" spans="1:14" x14ac:dyDescent="0.25">
      <c r="A287" s="6" t="s">
        <v>98</v>
      </c>
      <c r="B287" s="6">
        <v>2</v>
      </c>
      <c r="D287" s="49" t="str">
        <f>CONCATENATE("0-",VLOOKUP(CONCATENATE(VLOOKUP(A287,TEAMS,2,FALSE),TEXT(B287,"00")),PLAYERS,$D$1,FALSE),IF(VLOOKUP(CONCATENATE(VLOOKUP(A287,TEAMS,2,FALSE),TEXT(B287,"00")),PLAYERS,$D$1+1,FALSE)="BG"," *",""))</f>
        <v>0-2</v>
      </c>
      <c r="E287" s="50" t="str">
        <f>VLOOKUP(CONCATENATE(VLOOKUP(A287,TEAMS,2,FALSE),TEXT($B287,"00")),PLAYERS,E$1,FALSE)</f>
        <v>Vampire Runner</v>
      </c>
      <c r="F287" s="48">
        <f>VLOOKUP(CONCATENATE(VLOOKUP(A287,TEAMS,2,FALSE),TEXT($B287,"00")),PLAYERS,F$1,FALSE)</f>
        <v>8</v>
      </c>
      <c r="G287" s="48">
        <f>VLOOKUP(CONCATENATE(VLOOKUP(A287,TEAMS,2,FALSE),TEXT($B287,"00")),PLAYERS,G$1,FALSE)</f>
        <v>3</v>
      </c>
      <c r="H287" s="48" t="str">
        <f>CONCATENATE(VLOOKUP(CONCATENATE(VLOOKUP(A287,TEAMS,2,FALSE),TEXT($B287,"00")),PLAYERS,H$1,FALSE),"+")</f>
        <v>2+</v>
      </c>
      <c r="I287" s="48" t="str">
        <f>CONCATENATE(VLOOKUP(CONCATENATE(VLOOKUP(A287,TEAMS,2,FALSE),TEXT($B287,"00")),PLAYERS,I$1,FALSE),IF(VLOOKUP(CONCATENATE(VLOOKUP(A287,TEAMS,2,FALSE),TEXT($B287,"00")),PLAYERS,I$1,FALSE)="-","","+"))</f>
        <v>4+</v>
      </c>
      <c r="J287" s="48" t="str">
        <f>CONCATENATE(VLOOKUP(CONCATENATE(VLOOKUP(A287,TEAMS,2,FALSE),TEXT($B287,"00")),PLAYERS,J$1,FALSE),"+")</f>
        <v>8+</v>
      </c>
      <c r="K287" s="50" t="str">
        <f>VLOOKUP(CONCATENATE(VLOOKUP(A287,TEAMS,2,FALSE),TEXT($B287,"00")),PLAYERS,K$1,FALSE)</f>
        <v>Bloodlust (2+), Hypnotic Gaze, Regeneration</v>
      </c>
      <c r="L287" s="49" t="str">
        <f>VLOOKUP(CONCATENATE(VLOOKUP(A287,TEAMS,2,FALSE),TEXT($B287,"00")),PLAYERS,L$1,FALSE)</f>
        <v>AG</v>
      </c>
      <c r="M287" s="49" t="str">
        <f>VLOOKUP(CONCATENATE(VLOOKUP(A287,TEAMS,2,FALSE),TEXT($B287,"00")),PLAYERS,M$1,FALSE)</f>
        <v>PS</v>
      </c>
      <c r="N287" s="48" t="str">
        <f>CONCATENATE(ABS(VLOOKUP(CONCATENATE(VLOOKUP(A287,TEAMS,2,FALSE),TEXT(B287,"00")),PLAYERS,5,FALSE)),"k")</f>
        <v>100k</v>
      </c>
    </row>
    <row r="288" spans="1:14" x14ac:dyDescent="0.25">
      <c r="A288" s="6" t="s">
        <v>98</v>
      </c>
      <c r="B288" s="6">
        <v>3</v>
      </c>
      <c r="D288" s="49" t="str">
        <f>CONCATENATE("0-",VLOOKUP(CONCATENATE(VLOOKUP(A288,TEAMS,2,FALSE),TEXT(B288,"00")),PLAYERS,$D$1,FALSE),IF(VLOOKUP(CONCATENATE(VLOOKUP(A288,TEAMS,2,FALSE),TEXT(B288,"00")),PLAYERS,$D$1+1,FALSE)="BG"," *",""))</f>
        <v>0-2</v>
      </c>
      <c r="E288" s="50" t="str">
        <f>VLOOKUP(CONCATENATE(VLOOKUP(A288,TEAMS,2,FALSE),TEXT($B288,"00")),PLAYERS,E$1,FALSE)</f>
        <v>Vampire Thrower</v>
      </c>
      <c r="F288" s="48">
        <f>VLOOKUP(CONCATENATE(VLOOKUP(A288,TEAMS,2,FALSE),TEXT($B288,"00")),PLAYERS,F$1,FALSE)</f>
        <v>6</v>
      </c>
      <c r="G288" s="48">
        <f>VLOOKUP(CONCATENATE(VLOOKUP(A288,TEAMS,2,FALSE),TEXT($B288,"00")),PLAYERS,G$1,FALSE)</f>
        <v>4</v>
      </c>
      <c r="H288" s="48" t="str">
        <f>CONCATENATE(VLOOKUP(CONCATENATE(VLOOKUP(A288,TEAMS,2,FALSE),TEXT($B288,"00")),PLAYERS,H$1,FALSE),"+")</f>
        <v>2+</v>
      </c>
      <c r="I288" s="48" t="str">
        <f>CONCATENATE(VLOOKUP(CONCATENATE(VLOOKUP(A288,TEAMS,2,FALSE),TEXT($B288,"00")),PLAYERS,I$1,FALSE),IF(VLOOKUP(CONCATENATE(VLOOKUP(A288,TEAMS,2,FALSE),TEXT($B288,"00")),PLAYERS,I$1,FALSE)="-","","+"))</f>
        <v>2+</v>
      </c>
      <c r="J288" s="48" t="str">
        <f>CONCATENATE(VLOOKUP(CONCATENATE(VLOOKUP(A288,TEAMS,2,FALSE),TEXT($B288,"00")),PLAYERS,J$1,FALSE),"+")</f>
        <v>9+</v>
      </c>
      <c r="K288" s="50" t="str">
        <f>VLOOKUP(CONCATENATE(VLOOKUP(A288,TEAMS,2,FALSE),TEXT($B288,"00")),PLAYERS,K$1,FALSE)</f>
        <v>Bloodlust (2+), Hypnotic Gaze, Pass, Regeneration</v>
      </c>
      <c r="L288" s="49" t="str">
        <f>VLOOKUP(CONCATENATE(VLOOKUP(A288,TEAMS,2,FALSE),TEXT($B288,"00")),PLAYERS,L$1,FALSE)</f>
        <v>AGP</v>
      </c>
      <c r="M288" s="49" t="str">
        <f>VLOOKUP(CONCATENATE(VLOOKUP(A288,TEAMS,2,FALSE),TEXT($B288,"00")),PLAYERS,M$1,FALSE)</f>
        <v>S</v>
      </c>
      <c r="N288" s="48" t="str">
        <f>CONCATENATE(ABS(VLOOKUP(CONCATENATE(VLOOKUP(A288,TEAMS,2,FALSE),TEXT(B288,"00")),PLAYERS,5,FALSE)),"k")</f>
        <v>110k</v>
      </c>
    </row>
    <row r="289" spans="1:14" ht="30" x14ac:dyDescent="0.25">
      <c r="A289" s="6" t="s">
        <v>98</v>
      </c>
      <c r="B289" s="6">
        <v>4</v>
      </c>
      <c r="D289" s="49" t="str">
        <f>CONCATENATE("0-",VLOOKUP(CONCATENATE(VLOOKUP(A289,TEAMS,2,FALSE),TEXT(B289,"00")),PLAYERS,$D$1,FALSE),IF(VLOOKUP(CONCATENATE(VLOOKUP(A289,TEAMS,2,FALSE),TEXT(B289,"00")),PLAYERS,$D$1+1,FALSE)="BG"," *",""))</f>
        <v>0-2</v>
      </c>
      <c r="E289" s="50" t="str">
        <f>VLOOKUP(CONCATENATE(VLOOKUP(A289,TEAMS,2,FALSE),TEXT($B289,"00")),PLAYERS,E$1,FALSE)</f>
        <v>Vampire Blitzer</v>
      </c>
      <c r="F289" s="48">
        <f>VLOOKUP(CONCATENATE(VLOOKUP(A289,TEAMS,2,FALSE),TEXT($B289,"00")),PLAYERS,F$1,FALSE)</f>
        <v>6</v>
      </c>
      <c r="G289" s="48">
        <f>VLOOKUP(CONCATENATE(VLOOKUP(A289,TEAMS,2,FALSE),TEXT($B289,"00")),PLAYERS,G$1,FALSE)</f>
        <v>4</v>
      </c>
      <c r="H289" s="48" t="str">
        <f>CONCATENATE(VLOOKUP(CONCATENATE(VLOOKUP(A289,TEAMS,2,FALSE),TEXT($B289,"00")),PLAYERS,H$1,FALSE),"+")</f>
        <v>2+</v>
      </c>
      <c r="I289" s="48" t="str">
        <f>CONCATENATE(VLOOKUP(CONCATENATE(VLOOKUP(A289,TEAMS,2,FALSE),TEXT($B289,"00")),PLAYERS,I$1,FALSE),IF(VLOOKUP(CONCATENATE(VLOOKUP(A289,TEAMS,2,FALSE),TEXT($B289,"00")),PLAYERS,I$1,FALSE)="-","","+"))</f>
        <v>5+</v>
      </c>
      <c r="J289" s="48" t="str">
        <f>CONCATENATE(VLOOKUP(CONCATENATE(VLOOKUP(A289,TEAMS,2,FALSE),TEXT($B289,"00")),PLAYERS,J$1,FALSE),"+")</f>
        <v>9+</v>
      </c>
      <c r="K289" s="50" t="str">
        <f>VLOOKUP(CONCATENATE(VLOOKUP(A289,TEAMS,2,FALSE),TEXT($B289,"00")),PLAYERS,K$1,FALSE)</f>
        <v>Bloodlust (3+), Hypnotic Gaze, Juggernaut, Regeneration</v>
      </c>
      <c r="L289" s="49" t="str">
        <f>VLOOKUP(CONCATENATE(VLOOKUP(A289,TEAMS,2,FALSE),TEXT($B289,"00")),PLAYERS,L$1,FALSE)</f>
        <v>AGS</v>
      </c>
      <c r="M289" s="49" t="str">
        <f>VLOOKUP(CONCATENATE(VLOOKUP(A289,TEAMS,2,FALSE),TEXT($B289,"00")),PLAYERS,M$1,FALSE)</f>
        <v>-</v>
      </c>
      <c r="N289" s="48" t="str">
        <f>CONCATENATE(ABS(VLOOKUP(CONCATENATE(VLOOKUP(A289,TEAMS,2,FALSE),TEXT(B289,"00")),PLAYERS,5,FALSE)),"k")</f>
        <v>110k</v>
      </c>
    </row>
    <row r="290" spans="1:14" ht="28.9" customHeight="1" x14ac:dyDescent="0.25">
      <c r="A290" s="6" t="s">
        <v>98</v>
      </c>
      <c r="B290" s="6">
        <v>5</v>
      </c>
      <c r="D290" s="49" t="str">
        <f>CONCATENATE("0-",VLOOKUP(CONCATENATE(VLOOKUP(A290,TEAMS,2,FALSE),TEXT(B290,"00")),PLAYERS,$D$1,FALSE),IF(VLOOKUP(CONCATENATE(VLOOKUP(A290,TEAMS,2,FALSE),TEXT(B290,"00")),PLAYERS,$D$1+1,FALSE)="BG"," *",""))</f>
        <v>0-1</v>
      </c>
      <c r="E290" s="50" t="str">
        <f>VLOOKUP(CONCATENATE(VLOOKUP(A290,TEAMS,2,FALSE),TEXT($B290,"00")),PLAYERS,E$1,FALSE)</f>
        <v>Vargheist</v>
      </c>
      <c r="F290" s="48">
        <f>VLOOKUP(CONCATENATE(VLOOKUP(A290,TEAMS,2,FALSE),TEXT($B290,"00")),PLAYERS,F$1,FALSE)</f>
        <v>5</v>
      </c>
      <c r="G290" s="48">
        <f>VLOOKUP(CONCATENATE(VLOOKUP(A290,TEAMS,2,FALSE),TEXT($B290,"00")),PLAYERS,G$1,FALSE)</f>
        <v>5</v>
      </c>
      <c r="H290" s="48" t="str">
        <f>CONCATENATE(VLOOKUP(CONCATENATE(VLOOKUP(A290,TEAMS,2,FALSE),TEXT($B290,"00")),PLAYERS,H$1,FALSE),"+")</f>
        <v>4+</v>
      </c>
      <c r="I290" s="48" t="str">
        <f>CONCATENATE(VLOOKUP(CONCATENATE(VLOOKUP(A290,TEAMS,2,FALSE),TEXT($B290,"00")),PLAYERS,I$1,FALSE),IF(VLOOKUP(CONCATENATE(VLOOKUP(A290,TEAMS,2,FALSE),TEXT($B290,"00")),PLAYERS,I$1,FALSE)="-","","+"))</f>
        <v>-</v>
      </c>
      <c r="J290" s="48" t="str">
        <f>CONCATENATE(VLOOKUP(CONCATENATE(VLOOKUP(A290,TEAMS,2,FALSE),TEXT($B290,"00")),PLAYERS,J$1,FALSE),"+")</f>
        <v>10+</v>
      </c>
      <c r="K290" s="50" t="str">
        <f>VLOOKUP(CONCATENATE(VLOOKUP(A290,TEAMS,2,FALSE),TEXT($B290,"00")),PLAYERS,K$1,FALSE)</f>
        <v>Bloodlust (3+), Claws, Frenzy, Loner (4+), Regeneration</v>
      </c>
      <c r="L290" s="49" t="str">
        <f>VLOOKUP(CONCATENATE(VLOOKUP(A290,TEAMS,2,FALSE),TEXT($B290,"00")),PLAYERS,L$1,FALSE)</f>
        <v>S</v>
      </c>
      <c r="M290" s="49" t="str">
        <f>VLOOKUP(CONCATENATE(VLOOKUP(A290,TEAMS,2,FALSE),TEXT($B290,"00")),PLAYERS,M$1,FALSE)</f>
        <v>AG</v>
      </c>
      <c r="N290" s="48" t="str">
        <f>CONCATENATE(ABS(VLOOKUP(CONCATENATE(VLOOKUP(A290,TEAMS,2,FALSE),TEXT(B290,"00")),PLAYERS,5,FALSE)),"k")</f>
        <v>150k</v>
      </c>
    </row>
    <row r="291" spans="1:14" x14ac:dyDescent="0.25">
      <c r="D291" s="17" t="s">
        <v>580</v>
      </c>
      <c r="E291" s="17" t="str">
        <f>CONCATENATE(VLOOKUP(A287,TEAMS,5,FALSE),"k")</f>
        <v>60k</v>
      </c>
      <c r="F291" s="364" t="s">
        <v>584</v>
      </c>
      <c r="G291" s="369"/>
      <c r="H291" s="369"/>
      <c r="I291" s="365"/>
      <c r="J291" s="48" t="str">
        <f>VLOOKUP(A287,TEAMS,6,FALSE)</f>
        <v>Yes</v>
      </c>
      <c r="K291" s="366" t="s">
        <v>585</v>
      </c>
      <c r="L291" s="367"/>
      <c r="M291" s="368"/>
      <c r="N291" s="51">
        <f>VLOOKUP(A287,TEAMS,8,FALSE)</f>
        <v>3</v>
      </c>
    </row>
    <row r="292" spans="1:14" x14ac:dyDescent="0.25">
      <c r="D292" s="364" t="s">
        <v>586</v>
      </c>
      <c r="E292" s="365"/>
      <c r="F292" s="360" t="str">
        <f>IFERROR(VLOOKUP(LEFT(VLOOKUP(#REF!,TEAMS,7,FALSE),3),SpecialRules,3,FALSE) &amp; VLOOKUP(MID(VLOOKUP(#REF!,TEAMS,7,FALSE),4,3),SpecialRules,3,FALSE),"")</f>
        <v/>
      </c>
      <c r="G292" s="360"/>
      <c r="H292" s="360"/>
      <c r="I292" s="360"/>
      <c r="J292" s="360"/>
      <c r="K292" s="360"/>
      <c r="L292" s="360"/>
      <c r="M292" s="360"/>
      <c r="N292" s="360"/>
    </row>
    <row r="293" spans="1:14" x14ac:dyDescent="0.25">
      <c r="D293" s="363"/>
      <c r="E293" s="363"/>
      <c r="F293" s="363"/>
      <c r="G293" s="363"/>
      <c r="H293" s="363"/>
      <c r="I293" s="363"/>
      <c r="J293" s="363"/>
      <c r="K293" s="363"/>
      <c r="L293" s="363"/>
      <c r="M293" s="363"/>
      <c r="N293" s="363"/>
    </row>
    <row r="294" spans="1:14" ht="21" x14ac:dyDescent="0.35">
      <c r="A294" s="6" t="s">
        <v>103</v>
      </c>
      <c r="B294" s="6">
        <v>5</v>
      </c>
      <c r="D294" s="354" t="str">
        <f>A294</f>
        <v>Wood Elf</v>
      </c>
      <c r="E294" s="355"/>
      <c r="F294" s="355"/>
      <c r="G294" s="355"/>
      <c r="H294" s="355"/>
      <c r="I294" s="355"/>
      <c r="J294" s="355"/>
      <c r="K294" s="355"/>
      <c r="L294" s="355"/>
      <c r="M294" s="355"/>
      <c r="N294" s="356"/>
    </row>
    <row r="295" spans="1:14" x14ac:dyDescent="0.25">
      <c r="A295" s="6" t="s">
        <v>103</v>
      </c>
      <c r="D295" s="17" t="s">
        <v>765</v>
      </c>
      <c r="E295" s="17" t="s">
        <v>3</v>
      </c>
      <c r="F295" s="48" t="s">
        <v>4</v>
      </c>
      <c r="G295" s="48" t="s">
        <v>5</v>
      </c>
      <c r="H295" s="48" t="s">
        <v>6</v>
      </c>
      <c r="I295" s="48" t="s">
        <v>7</v>
      </c>
      <c r="J295" s="48" t="s">
        <v>8</v>
      </c>
      <c r="K295" s="17" t="s">
        <v>566</v>
      </c>
      <c r="L295" s="17" t="s">
        <v>578</v>
      </c>
      <c r="M295" s="17" t="s">
        <v>579</v>
      </c>
      <c r="N295" s="51" t="s">
        <v>715</v>
      </c>
    </row>
    <row r="296" spans="1:14" x14ac:dyDescent="0.25">
      <c r="A296" s="6" t="s">
        <v>103</v>
      </c>
      <c r="B296" s="6">
        <v>1</v>
      </c>
      <c r="D296" s="49" t="str">
        <f>CONCATENATE("0-",VLOOKUP(CONCATENATE(VLOOKUP(A296,TEAMS,2,FALSE),TEXT(B296,"00")),PLAYERS,$D$1,FALSE),IF(VLOOKUP(CONCATENATE(VLOOKUP(A296,TEAMS,2,FALSE),TEXT(B296,"00")),PLAYERS,$D$1+1,FALSE)="BG"," *",""))</f>
        <v>0-12</v>
      </c>
      <c r="E296" s="50" t="str">
        <f>VLOOKUP(CONCATENATE(VLOOKUP(A296,TEAMS,2,FALSE),TEXT($B296,"00")),PLAYERS,E$1,FALSE)</f>
        <v>Wood Elf Lineman</v>
      </c>
      <c r="F296" s="48">
        <f>VLOOKUP(CONCATENATE(VLOOKUP(A296,TEAMS,2,FALSE),TEXT($B296,"00")),PLAYERS,F$1,FALSE)</f>
        <v>7</v>
      </c>
      <c r="G296" s="48">
        <f>VLOOKUP(CONCATENATE(VLOOKUP(A296,TEAMS,2,FALSE),TEXT($B296,"00")),PLAYERS,G$1,FALSE)</f>
        <v>3</v>
      </c>
      <c r="H296" s="48" t="str">
        <f>CONCATENATE(VLOOKUP(CONCATENATE(VLOOKUP(A296,TEAMS,2,FALSE),TEXT($B296,"00")),PLAYERS,H$1,FALSE),"+")</f>
        <v>2+</v>
      </c>
      <c r="I296" s="48" t="str">
        <f>CONCATENATE(VLOOKUP(CONCATENATE(VLOOKUP(A296,TEAMS,2,FALSE),TEXT($B296,"00")),PLAYERS,I$1,FALSE),IF(VLOOKUP(CONCATENATE(VLOOKUP(A296,TEAMS,2,FALSE),TEXT($B296,"00")),PLAYERS,I$1,FALSE)="-","","+"))</f>
        <v>4+</v>
      </c>
      <c r="J296" s="48" t="str">
        <f>CONCATENATE(VLOOKUP(CONCATENATE(VLOOKUP(A296,TEAMS,2,FALSE),TEXT($B296,"00")),PLAYERS,J$1,FALSE),"+")</f>
        <v>8+</v>
      </c>
      <c r="K296" s="50" t="str">
        <f>VLOOKUP(CONCATENATE(VLOOKUP(A296,TEAMS,2,FALSE),TEXT($B296,"00")),PLAYERS,K$1,FALSE)</f>
        <v>None</v>
      </c>
      <c r="L296" s="49" t="str">
        <f>VLOOKUP(CONCATENATE(VLOOKUP(A296,TEAMS,2,FALSE),TEXT($B296,"00")),PLAYERS,L$1,FALSE)</f>
        <v>AG</v>
      </c>
      <c r="M296" s="49" t="str">
        <f>VLOOKUP(CONCATENATE(VLOOKUP(A296,TEAMS,2,FALSE),TEXT($B296,"00")),PLAYERS,M$1,FALSE)</f>
        <v>S</v>
      </c>
      <c r="N296" s="48" t="str">
        <f>CONCATENATE(ABS(VLOOKUP(CONCATENATE(VLOOKUP(A296,TEAMS,2,FALSE),TEXT(B296,"00")),PLAYERS,5,FALSE)),"k")</f>
        <v>70k</v>
      </c>
    </row>
    <row r="297" spans="1:14" x14ac:dyDescent="0.25">
      <c r="A297" s="6" t="s">
        <v>103</v>
      </c>
      <c r="B297" s="6">
        <v>2</v>
      </c>
      <c r="D297" s="49" t="str">
        <f>CONCATENATE("0-",VLOOKUP(CONCATENATE(VLOOKUP(A297,TEAMS,2,FALSE),TEXT(B297,"00")),PLAYERS,$D$1,FALSE),IF(VLOOKUP(CONCATENATE(VLOOKUP(A297,TEAMS,2,FALSE),TEXT(B297,"00")),PLAYERS,$D$1+1,FALSE)="BG"," *",""))</f>
        <v>0-2</v>
      </c>
      <c r="E297" s="50" t="str">
        <f>VLOOKUP(CONCATENATE(VLOOKUP(A297,TEAMS,2,FALSE),TEXT($B297,"00")),PLAYERS,E$1,FALSE)</f>
        <v>Wood Elf Thrower</v>
      </c>
      <c r="F297" s="48">
        <f>VLOOKUP(CONCATENATE(VLOOKUP(A297,TEAMS,2,FALSE),TEXT($B297,"00")),PLAYERS,F$1,FALSE)</f>
        <v>7</v>
      </c>
      <c r="G297" s="48">
        <f>VLOOKUP(CONCATENATE(VLOOKUP(A297,TEAMS,2,FALSE),TEXT($B297,"00")),PLAYERS,G$1,FALSE)</f>
        <v>3</v>
      </c>
      <c r="H297" s="48" t="str">
        <f>CONCATENATE(VLOOKUP(CONCATENATE(VLOOKUP(A297,TEAMS,2,FALSE),TEXT($B297,"00")),PLAYERS,H$1,FALSE),"+")</f>
        <v>2+</v>
      </c>
      <c r="I297" s="48" t="str">
        <f>CONCATENATE(VLOOKUP(CONCATENATE(VLOOKUP(A297,TEAMS,2,FALSE),TEXT($B297,"00")),PLAYERS,I$1,FALSE),IF(VLOOKUP(CONCATENATE(VLOOKUP(A297,TEAMS,2,FALSE),TEXT($B297,"00")),PLAYERS,I$1,FALSE)="-","","+"))</f>
        <v>2+</v>
      </c>
      <c r="J297" s="48" t="str">
        <f>CONCATENATE(VLOOKUP(CONCATENATE(VLOOKUP(A297,TEAMS,2,FALSE),TEXT($B297,"00")),PLAYERS,J$1,FALSE),"+")</f>
        <v>8+</v>
      </c>
      <c r="K297" s="50" t="str">
        <f>VLOOKUP(CONCATENATE(VLOOKUP(A297,TEAMS,2,FALSE),TEXT($B297,"00")),PLAYERS,K$1,FALSE)</f>
        <v>Pass</v>
      </c>
      <c r="L297" s="49" t="str">
        <f>VLOOKUP(CONCATENATE(VLOOKUP(A297,TEAMS,2,FALSE),TEXT($B297,"00")),PLAYERS,L$1,FALSE)</f>
        <v>AGP</v>
      </c>
      <c r="M297" s="49" t="str">
        <f>VLOOKUP(CONCATENATE(VLOOKUP(A297,TEAMS,2,FALSE),TEXT($B297,"00")),PLAYERS,M$1,FALSE)</f>
        <v>S</v>
      </c>
      <c r="N297" s="48" t="str">
        <f>CONCATENATE(ABS(VLOOKUP(CONCATENATE(VLOOKUP(A297,TEAMS,2,FALSE),TEXT(B297,"00")),PLAYERS,5,FALSE)),"k")</f>
        <v>95k</v>
      </c>
    </row>
    <row r="298" spans="1:14" x14ac:dyDescent="0.25">
      <c r="A298" s="6" t="s">
        <v>103</v>
      </c>
      <c r="B298" s="6">
        <v>3</v>
      </c>
      <c r="D298" s="49" t="str">
        <f>CONCATENATE("0-",VLOOKUP(CONCATENATE(VLOOKUP(A298,TEAMS,2,FALSE),TEXT(B298,"00")),PLAYERS,$D$1,FALSE),IF(VLOOKUP(CONCATENATE(VLOOKUP(A298,TEAMS,2,FALSE),TEXT(B298,"00")),PLAYERS,$D$1+1,FALSE)="BG"," *",""))</f>
        <v>0-4</v>
      </c>
      <c r="E298" s="50" t="str">
        <f>VLOOKUP(CONCATENATE(VLOOKUP(A298,TEAMS,2,FALSE),TEXT($B298,"00")),PLAYERS,E$1,FALSE)</f>
        <v>Wood Elf Catcher</v>
      </c>
      <c r="F298" s="48">
        <f>VLOOKUP(CONCATENATE(VLOOKUP(A298,TEAMS,2,FALSE),TEXT($B298,"00")),PLAYERS,F$1,FALSE)</f>
        <v>8</v>
      </c>
      <c r="G298" s="48">
        <f>VLOOKUP(CONCATENATE(VLOOKUP(A298,TEAMS,2,FALSE),TEXT($B298,"00")),PLAYERS,G$1,FALSE)</f>
        <v>2</v>
      </c>
      <c r="H298" s="48" t="str">
        <f>CONCATENATE(VLOOKUP(CONCATENATE(VLOOKUP(A298,TEAMS,2,FALSE),TEXT($B298,"00")),PLAYERS,H$1,FALSE),"+")</f>
        <v>2+</v>
      </c>
      <c r="I298" s="48" t="str">
        <f>CONCATENATE(VLOOKUP(CONCATENATE(VLOOKUP(A298,TEAMS,2,FALSE),TEXT($B298,"00")),PLAYERS,I$1,FALSE),IF(VLOOKUP(CONCATENATE(VLOOKUP(A298,TEAMS,2,FALSE),TEXT($B298,"00")),PLAYERS,I$1,FALSE)="-","","+"))</f>
        <v>4+</v>
      </c>
      <c r="J298" s="48" t="str">
        <f>CONCATENATE(VLOOKUP(CONCATENATE(VLOOKUP(A298,TEAMS,2,FALSE),TEXT($B298,"00")),PLAYERS,J$1,FALSE),"+")</f>
        <v>8+</v>
      </c>
      <c r="K298" s="50" t="str">
        <f>VLOOKUP(CONCATENATE(VLOOKUP(A298,TEAMS,2,FALSE),TEXT($B298,"00")),PLAYERS,K$1,FALSE)</f>
        <v>Catch, Dodge</v>
      </c>
      <c r="L298" s="49" t="str">
        <f>VLOOKUP(CONCATENATE(VLOOKUP(A298,TEAMS,2,FALSE),TEXT($B298,"00")),PLAYERS,L$1,FALSE)</f>
        <v>AG</v>
      </c>
      <c r="M298" s="49" t="str">
        <f>VLOOKUP(CONCATENATE(VLOOKUP(A298,TEAMS,2,FALSE),TEXT($B298,"00")),PLAYERS,M$1,FALSE)</f>
        <v>PS</v>
      </c>
      <c r="N298" s="48" t="str">
        <f>CONCATENATE(ABS(VLOOKUP(CONCATENATE(VLOOKUP(A298,TEAMS,2,FALSE),TEXT(B298,"00")),PLAYERS,5,FALSE)),"k")</f>
        <v>90k</v>
      </c>
    </row>
    <row r="299" spans="1:14" x14ac:dyDescent="0.25">
      <c r="A299" s="6" t="s">
        <v>103</v>
      </c>
      <c r="B299" s="6">
        <v>4</v>
      </c>
      <c r="D299" s="49" t="str">
        <f>CONCATENATE("0-",VLOOKUP(CONCATENATE(VLOOKUP(A299,TEAMS,2,FALSE),TEXT(B299,"00")),PLAYERS,$D$1,FALSE),IF(VLOOKUP(CONCATENATE(VLOOKUP(A299,TEAMS,2,FALSE),TEXT(B299,"00")),PLAYERS,$D$1+1,FALSE)="BG"," *",""))</f>
        <v>0-2</v>
      </c>
      <c r="E299" s="50" t="str">
        <f>VLOOKUP(CONCATENATE(VLOOKUP(A299,TEAMS,2,FALSE),TEXT($B299,"00")),PLAYERS,E$1,FALSE)</f>
        <v>Wardancer</v>
      </c>
      <c r="F299" s="48">
        <f>VLOOKUP(CONCATENATE(VLOOKUP(A299,TEAMS,2,FALSE),TEXT($B299,"00")),PLAYERS,F$1,FALSE)</f>
        <v>8</v>
      </c>
      <c r="G299" s="48">
        <f>VLOOKUP(CONCATENATE(VLOOKUP(A299,TEAMS,2,FALSE),TEXT($B299,"00")),PLAYERS,G$1,FALSE)</f>
        <v>3</v>
      </c>
      <c r="H299" s="48" t="str">
        <f>CONCATENATE(VLOOKUP(CONCATENATE(VLOOKUP(A299,TEAMS,2,FALSE),TEXT($B299,"00")),PLAYERS,H$1,FALSE),"+")</f>
        <v>2+</v>
      </c>
      <c r="I299" s="48" t="str">
        <f>CONCATENATE(VLOOKUP(CONCATENATE(VLOOKUP(A299,TEAMS,2,FALSE),TEXT($B299,"00")),PLAYERS,I$1,FALSE),IF(VLOOKUP(CONCATENATE(VLOOKUP(A299,TEAMS,2,FALSE),TEXT($B299,"00")),PLAYERS,I$1,FALSE)="-","","+"))</f>
        <v>4+</v>
      </c>
      <c r="J299" s="48" t="str">
        <f>CONCATENATE(VLOOKUP(CONCATENATE(VLOOKUP(A299,TEAMS,2,FALSE),TEXT($B299,"00")),PLAYERS,J$1,FALSE),"+")</f>
        <v>8+</v>
      </c>
      <c r="K299" s="50" t="str">
        <f>VLOOKUP(CONCATENATE(VLOOKUP(A299,TEAMS,2,FALSE),TEXT($B299,"00")),PLAYERS,K$1,FALSE)</f>
        <v>Block, Dodge, Leap</v>
      </c>
      <c r="L299" s="49" t="str">
        <f>VLOOKUP(CONCATENATE(VLOOKUP(A299,TEAMS,2,FALSE),TEXT($B299,"00")),PLAYERS,L$1,FALSE)</f>
        <v>AG</v>
      </c>
      <c r="M299" s="49" t="str">
        <f>VLOOKUP(CONCATENATE(VLOOKUP(A299,TEAMS,2,FALSE),TEXT($B299,"00")),PLAYERS,M$1,FALSE)</f>
        <v>PS</v>
      </c>
      <c r="N299" s="48" t="str">
        <f>CONCATENATE(ABS(VLOOKUP(CONCATENATE(VLOOKUP(A299,TEAMS,2,FALSE),TEXT(B299,"00")),PLAYERS,5,FALSE)),"k")</f>
        <v>125k</v>
      </c>
    </row>
    <row r="300" spans="1:14" ht="30" x14ac:dyDescent="0.25">
      <c r="A300" s="6" t="s">
        <v>103</v>
      </c>
      <c r="B300" s="6">
        <v>5</v>
      </c>
      <c r="D300" s="49" t="str">
        <f>CONCATENATE("0-",VLOOKUP(CONCATENATE(VLOOKUP(A300,TEAMS,2,FALSE),TEXT(B300,"00")),PLAYERS,$D$1,FALSE),IF(VLOOKUP(CONCATENATE(VLOOKUP(A300,TEAMS,2,FALSE),TEXT(B300,"00")),PLAYERS,$D$1+1,FALSE)="BG"," *",""))</f>
        <v>0-1</v>
      </c>
      <c r="E300" s="50" t="str">
        <f>VLOOKUP(CONCATENATE(VLOOKUP(A300,TEAMS,2,FALSE),TEXT($B300,"00")),PLAYERS,E$1,FALSE)</f>
        <v>Loren Forest Treeman</v>
      </c>
      <c r="F300" s="48">
        <f>VLOOKUP(CONCATENATE(VLOOKUP(A300,TEAMS,2,FALSE),TEXT($B300,"00")),PLAYERS,F$1,FALSE)</f>
        <v>2</v>
      </c>
      <c r="G300" s="48">
        <f>VLOOKUP(CONCATENATE(VLOOKUP(A300,TEAMS,2,FALSE),TEXT($B300,"00")),PLAYERS,G$1,FALSE)</f>
        <v>6</v>
      </c>
      <c r="H300" s="48" t="str">
        <f>CONCATENATE(VLOOKUP(CONCATENATE(VLOOKUP(A300,TEAMS,2,FALSE),TEXT($B300,"00")),PLAYERS,H$1,FALSE),"+")</f>
        <v>5+</v>
      </c>
      <c r="I300" s="48" t="str">
        <f>CONCATENATE(VLOOKUP(CONCATENATE(VLOOKUP(A300,TEAMS,2,FALSE),TEXT($B300,"00")),PLAYERS,I$1,FALSE),IF(VLOOKUP(CONCATENATE(VLOOKUP(A300,TEAMS,2,FALSE),TEXT($B300,"00")),PLAYERS,I$1,FALSE)="-","","+"))</f>
        <v>5+</v>
      </c>
      <c r="J300" s="48" t="str">
        <f>CONCATENATE(VLOOKUP(CONCATENATE(VLOOKUP(A300,TEAMS,2,FALSE),TEXT($B300,"00")),PLAYERS,J$1,FALSE),"+")</f>
        <v>11+</v>
      </c>
      <c r="K300" s="50" t="str">
        <f>VLOOKUP(CONCATENATE(VLOOKUP(A300,TEAMS,2,FALSE),TEXT($B300,"00")),PLAYERS,K$1,FALSE)</f>
        <v>Loner (4+)*, Mighty Blow (+1), Stand Firm, Strong Arm, Take Root*, Thick Skull, Throw Team-mate</v>
      </c>
      <c r="L300" s="49" t="str">
        <f>VLOOKUP(CONCATENATE(VLOOKUP(A300,TEAMS,2,FALSE),TEXT($B300,"00")),PLAYERS,L$1,FALSE)</f>
        <v>S</v>
      </c>
      <c r="M300" s="49" t="str">
        <f>VLOOKUP(CONCATENATE(VLOOKUP(A300,TEAMS,2,FALSE),TEXT($B300,"00")),PLAYERS,M$1,FALSE)</f>
        <v>AG</v>
      </c>
      <c r="N300" s="48" t="str">
        <f>CONCATENATE(ABS(VLOOKUP(CONCATENATE(VLOOKUP(A300,TEAMS,2,FALSE),TEXT(B300,"00")),PLAYERS,5,FALSE)),"k")</f>
        <v>120k</v>
      </c>
    </row>
    <row r="301" spans="1:14" x14ac:dyDescent="0.25">
      <c r="D301" s="17" t="s">
        <v>580</v>
      </c>
      <c r="E301" s="17" t="str">
        <f>CONCATENATE(VLOOKUP(A294,TEAMS,5,FALSE),"k")</f>
        <v>50k</v>
      </c>
      <c r="F301" s="364" t="s">
        <v>584</v>
      </c>
      <c r="G301" s="369"/>
      <c r="H301" s="369"/>
      <c r="I301" s="365"/>
      <c r="J301" s="48" t="str">
        <f>VLOOKUP(A294,TEAMS,6,FALSE)</f>
        <v>Yes</v>
      </c>
      <c r="K301" s="366" t="s">
        <v>585</v>
      </c>
      <c r="L301" s="367"/>
      <c r="M301" s="368"/>
      <c r="N301" s="51">
        <f>VLOOKUP(A294,TEAMS,8,FALSE)</f>
        <v>2</v>
      </c>
    </row>
    <row r="302" spans="1:14" ht="15" customHeight="1" x14ac:dyDescent="0.25">
      <c r="D302" s="364" t="s">
        <v>586</v>
      </c>
      <c r="E302" s="365"/>
      <c r="F302" s="360" t="str">
        <f>IFERROR(VLOOKUP(LEFT(VLOOKUP(A296,TEAMS,7,FALSE),3),SpecialRules,3,FALSE) &amp; VLOOKUP(MID(VLOOKUP(A296,TEAMS,7,FALSE),4,3),SpecialRules,3,FALSE),"")</f>
        <v/>
      </c>
      <c r="G302" s="360"/>
      <c r="H302" s="360"/>
      <c r="I302" s="360"/>
      <c r="J302" s="360"/>
      <c r="K302" s="360"/>
      <c r="L302" s="360"/>
      <c r="M302" s="360"/>
      <c r="N302" s="360"/>
    </row>
    <row r="303" spans="1:14" x14ac:dyDescent="0.25">
      <c r="D303" s="362"/>
      <c r="E303" s="362"/>
      <c r="F303" s="362"/>
      <c r="G303" s="362"/>
      <c r="H303" s="362"/>
      <c r="I303" s="362"/>
      <c r="J303" s="362"/>
      <c r="K303" s="362"/>
      <c r="L303" s="362"/>
      <c r="M303" s="362"/>
      <c r="N303" s="362"/>
    </row>
  </sheetData>
  <sheetProtection sheet="1" objects="1" scenarios="1"/>
  <mergeCells count="168">
    <mergeCell ref="D3:N3"/>
    <mergeCell ref="D294:N294"/>
    <mergeCell ref="D284:N284"/>
    <mergeCell ref="D261:N261"/>
    <mergeCell ref="D231:N231"/>
    <mergeCell ref="D137:N137"/>
    <mergeCell ref="D107:N107"/>
    <mergeCell ref="D31:N31"/>
    <mergeCell ref="F291:I291"/>
    <mergeCell ref="K291:M291"/>
    <mergeCell ref="D292:E292"/>
    <mergeCell ref="F292:N292"/>
    <mergeCell ref="F237:I237"/>
    <mergeCell ref="K237:M237"/>
    <mergeCell ref="D238:E238"/>
    <mergeCell ref="F238:N238"/>
    <mergeCell ref="F143:I143"/>
    <mergeCell ref="K143:M143"/>
    <mergeCell ref="D144:E144"/>
    <mergeCell ref="F144:N144"/>
    <mergeCell ref="D114:E114"/>
    <mergeCell ref="F114:N114"/>
    <mergeCell ref="F37:I37"/>
    <mergeCell ref="K37:M37"/>
    <mergeCell ref="F9:I9"/>
    <mergeCell ref="K9:M9"/>
    <mergeCell ref="D10:E10"/>
    <mergeCell ref="F10:N10"/>
    <mergeCell ref="F113:I113"/>
    <mergeCell ref="K113:M113"/>
    <mergeCell ref="D293:N293"/>
    <mergeCell ref="D270:N270"/>
    <mergeCell ref="F258:I258"/>
    <mergeCell ref="K258:M258"/>
    <mergeCell ref="D259:E259"/>
    <mergeCell ref="F259:N259"/>
    <mergeCell ref="D250:N250"/>
    <mergeCell ref="F247:I247"/>
    <mergeCell ref="K247:M247"/>
    <mergeCell ref="D248:E248"/>
    <mergeCell ref="F248:N248"/>
    <mergeCell ref="D249:N249"/>
    <mergeCell ref="F267:I267"/>
    <mergeCell ref="K267:M267"/>
    <mergeCell ref="D268:E268"/>
    <mergeCell ref="F268:N268"/>
    <mergeCell ref="D240:N240"/>
    <mergeCell ref="F228:I228"/>
    <mergeCell ref="F301:I301"/>
    <mergeCell ref="K301:M301"/>
    <mergeCell ref="D302:E302"/>
    <mergeCell ref="F302:N302"/>
    <mergeCell ref="D303:N303"/>
    <mergeCell ref="F280:I280"/>
    <mergeCell ref="K280:M280"/>
    <mergeCell ref="D281:E281"/>
    <mergeCell ref="F281:N281"/>
    <mergeCell ref="D282:N282"/>
    <mergeCell ref="K228:M228"/>
    <mergeCell ref="D229:E229"/>
    <mergeCell ref="F229:N229"/>
    <mergeCell ref="D239:N239"/>
    <mergeCell ref="D221:N221"/>
    <mergeCell ref="D209:N209"/>
    <mergeCell ref="F218:I218"/>
    <mergeCell ref="K218:M218"/>
    <mergeCell ref="D219:E219"/>
    <mergeCell ref="F219:N219"/>
    <mergeCell ref="D220:N220"/>
    <mergeCell ref="D210:N210"/>
    <mergeCell ref="F206:I206"/>
    <mergeCell ref="K206:M206"/>
    <mergeCell ref="D207:E207"/>
    <mergeCell ref="F207:N207"/>
    <mergeCell ref="D208:N208"/>
    <mergeCell ref="D193:N193"/>
    <mergeCell ref="F190:I190"/>
    <mergeCell ref="K190:M190"/>
    <mergeCell ref="D191:E191"/>
    <mergeCell ref="F191:N191"/>
    <mergeCell ref="D192:N192"/>
    <mergeCell ref="D185:N185"/>
    <mergeCell ref="F182:I182"/>
    <mergeCell ref="K182:M182"/>
    <mergeCell ref="D183:E183"/>
    <mergeCell ref="F183:N183"/>
    <mergeCell ref="D184:N184"/>
    <mergeCell ref="D176:N176"/>
    <mergeCell ref="F162:I162"/>
    <mergeCell ref="K162:M162"/>
    <mergeCell ref="D163:E163"/>
    <mergeCell ref="F163:N163"/>
    <mergeCell ref="D175:N175"/>
    <mergeCell ref="F173:I173"/>
    <mergeCell ref="K173:M173"/>
    <mergeCell ref="D174:E174"/>
    <mergeCell ref="F174:N174"/>
    <mergeCell ref="D165:N165"/>
    <mergeCell ref="D155:N155"/>
    <mergeCell ref="F152:I152"/>
    <mergeCell ref="K152:M152"/>
    <mergeCell ref="D153:E153"/>
    <mergeCell ref="F153:N153"/>
    <mergeCell ref="D154:N154"/>
    <mergeCell ref="D146:N146"/>
    <mergeCell ref="F134:I134"/>
    <mergeCell ref="K134:M134"/>
    <mergeCell ref="D135:E135"/>
    <mergeCell ref="F135:N135"/>
    <mergeCell ref="D136:N136"/>
    <mergeCell ref="D127:N127"/>
    <mergeCell ref="F124:I124"/>
    <mergeCell ref="K124:M124"/>
    <mergeCell ref="D125:E125"/>
    <mergeCell ref="F125:N125"/>
    <mergeCell ref="D126:N126"/>
    <mergeCell ref="D116:N116"/>
    <mergeCell ref="F104:I104"/>
    <mergeCell ref="K104:M104"/>
    <mergeCell ref="D105:E105"/>
    <mergeCell ref="F105:N105"/>
    <mergeCell ref="D98:N98"/>
    <mergeCell ref="F95:I95"/>
    <mergeCell ref="K95:M95"/>
    <mergeCell ref="D96:E96"/>
    <mergeCell ref="F96:N96"/>
    <mergeCell ref="D97:N97"/>
    <mergeCell ref="D85:N85"/>
    <mergeCell ref="F82:I82"/>
    <mergeCell ref="K82:M82"/>
    <mergeCell ref="D83:E83"/>
    <mergeCell ref="F83:N83"/>
    <mergeCell ref="D84:N84"/>
    <mergeCell ref="D76:N76"/>
    <mergeCell ref="D75:N75"/>
    <mergeCell ref="D66:N66"/>
    <mergeCell ref="F74:N74"/>
    <mergeCell ref="D74:E74"/>
    <mergeCell ref="K73:M73"/>
    <mergeCell ref="F73:I73"/>
    <mergeCell ref="D65:N65"/>
    <mergeCell ref="D56:N56"/>
    <mergeCell ref="D54:N54"/>
    <mergeCell ref="D40:N40"/>
    <mergeCell ref="D55:N55"/>
    <mergeCell ref="F63:I63"/>
    <mergeCell ref="K63:M63"/>
    <mergeCell ref="D64:E64"/>
    <mergeCell ref="F64:N64"/>
    <mergeCell ref="D29:N29"/>
    <mergeCell ref="D39:N39"/>
    <mergeCell ref="F52:I52"/>
    <mergeCell ref="K52:M52"/>
    <mergeCell ref="D53:E53"/>
    <mergeCell ref="F53:N53"/>
    <mergeCell ref="D38:E38"/>
    <mergeCell ref="F38:N38"/>
    <mergeCell ref="D12:N12"/>
    <mergeCell ref="D20:N20"/>
    <mergeCell ref="F27:I27"/>
    <mergeCell ref="K27:M27"/>
    <mergeCell ref="D28:E28"/>
    <mergeCell ref="F28:N28"/>
    <mergeCell ref="D19:N19"/>
    <mergeCell ref="F17:I17"/>
    <mergeCell ref="K17:M17"/>
    <mergeCell ref="D18:E18"/>
    <mergeCell ref="F18:N18"/>
  </mergeCells>
  <printOptions horizontalCentered="1" verticalCentered="1"/>
  <pageMargins left="0.23622047244094491" right="0.23622047244094491" top="0.23622047244094491" bottom="0.23622047244094491"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7"/>
  <dimension ref="A1:R106"/>
  <sheetViews>
    <sheetView showRowColHeaders="0" workbookViewId="0"/>
  </sheetViews>
  <sheetFormatPr defaultColWidth="11.42578125" defaultRowHeight="15" x14ac:dyDescent="0.25"/>
  <cols>
    <col min="1" max="1" width="5.5703125" style="6" customWidth="1"/>
    <col min="2" max="6" width="20.7109375" customWidth="1"/>
    <col min="7" max="7" width="5.85546875" style="6" customWidth="1"/>
    <col min="8" max="10" width="16" customWidth="1"/>
    <col min="11" max="11" width="17" customWidth="1"/>
    <col min="12" max="14" width="17.7109375" style="6" customWidth="1"/>
    <col min="15" max="18" width="11.42578125" style="6"/>
  </cols>
  <sheetData>
    <row r="1" spans="2:11" s="6" customFormat="1" ht="15.75" thickBot="1" x14ac:dyDescent="0.3"/>
    <row r="2" spans="2:11" ht="32.25" customHeight="1" thickBot="1" x14ac:dyDescent="0.3">
      <c r="B2" s="374" t="s">
        <v>566</v>
      </c>
      <c r="C2" s="375"/>
      <c r="D2" s="375"/>
      <c r="E2" s="375"/>
      <c r="F2" s="376"/>
      <c r="H2" s="371" t="s">
        <v>540</v>
      </c>
      <c r="I2" s="372"/>
      <c r="J2" s="372"/>
      <c r="K2" s="373"/>
    </row>
    <row r="3" spans="2:11" ht="15.75" thickBot="1" x14ac:dyDescent="0.3">
      <c r="B3" s="377" t="s">
        <v>529</v>
      </c>
      <c r="C3" s="378"/>
      <c r="D3" s="378"/>
      <c r="E3" s="378"/>
      <c r="F3" s="379"/>
      <c r="H3" s="35" t="s">
        <v>541</v>
      </c>
      <c r="I3" s="36" t="s">
        <v>542</v>
      </c>
      <c r="J3" s="36" t="s">
        <v>543</v>
      </c>
      <c r="K3" s="37" t="s">
        <v>544</v>
      </c>
    </row>
    <row r="4" spans="2:11" ht="15.75" thickBot="1" x14ac:dyDescent="0.3">
      <c r="B4" s="118" t="s">
        <v>530</v>
      </c>
      <c r="C4" s="118" t="s">
        <v>531</v>
      </c>
      <c r="D4" s="118" t="s">
        <v>532</v>
      </c>
      <c r="E4" s="118" t="s">
        <v>533</v>
      </c>
      <c r="F4" s="118" t="s">
        <v>534</v>
      </c>
      <c r="H4" s="30" t="s">
        <v>545</v>
      </c>
      <c r="I4" s="26" t="s">
        <v>546</v>
      </c>
      <c r="J4" s="26" t="s">
        <v>547</v>
      </c>
      <c r="K4" s="28" t="s">
        <v>548</v>
      </c>
    </row>
    <row r="5" spans="2:11" x14ac:dyDescent="0.25">
      <c r="B5" s="116" t="s">
        <v>20</v>
      </c>
      <c r="C5" s="117" t="s">
        <v>32</v>
      </c>
      <c r="D5" s="116" t="s">
        <v>44</v>
      </c>
      <c r="E5" s="116" t="s">
        <v>54</v>
      </c>
      <c r="F5" s="116" t="s">
        <v>66</v>
      </c>
      <c r="H5" s="31" t="s">
        <v>549</v>
      </c>
      <c r="I5" s="27" t="s">
        <v>550</v>
      </c>
      <c r="J5" s="27" t="s">
        <v>327</v>
      </c>
      <c r="K5" s="29" t="s">
        <v>551</v>
      </c>
    </row>
    <row r="6" spans="2:11" x14ac:dyDescent="0.25">
      <c r="B6" s="39" t="s">
        <v>21</v>
      </c>
      <c r="C6" s="39" t="s">
        <v>33</v>
      </c>
      <c r="D6" s="39" t="s">
        <v>45</v>
      </c>
      <c r="E6" s="39" t="s">
        <v>55</v>
      </c>
      <c r="F6" s="39" t="s">
        <v>67</v>
      </c>
      <c r="H6" s="30" t="s">
        <v>552</v>
      </c>
      <c r="I6" s="26" t="s">
        <v>553</v>
      </c>
      <c r="J6" s="26" t="s">
        <v>554</v>
      </c>
      <c r="K6" s="28" t="s">
        <v>555</v>
      </c>
    </row>
    <row r="7" spans="2:11" x14ac:dyDescent="0.25">
      <c r="B7" s="38" t="s">
        <v>22</v>
      </c>
      <c r="C7" s="38" t="s">
        <v>34</v>
      </c>
      <c r="D7" s="38" t="s">
        <v>535</v>
      </c>
      <c r="E7" s="38" t="s">
        <v>536</v>
      </c>
      <c r="F7" s="38" t="s">
        <v>68</v>
      </c>
      <c r="H7" s="31" t="s">
        <v>556</v>
      </c>
      <c r="I7" s="27" t="s">
        <v>557</v>
      </c>
      <c r="J7" s="27" t="s">
        <v>558</v>
      </c>
      <c r="K7" s="29" t="s">
        <v>559</v>
      </c>
    </row>
    <row r="8" spans="2:11" x14ac:dyDescent="0.25">
      <c r="B8" s="40" t="s">
        <v>23</v>
      </c>
      <c r="C8" s="39" t="s">
        <v>35</v>
      </c>
      <c r="D8" s="39" t="s">
        <v>47</v>
      </c>
      <c r="E8" s="39" t="s">
        <v>57</v>
      </c>
      <c r="F8" s="39" t="s">
        <v>69</v>
      </c>
      <c r="H8" s="30" t="s">
        <v>560</v>
      </c>
      <c r="I8" s="26" t="s">
        <v>615</v>
      </c>
      <c r="J8" s="26" t="s">
        <v>561</v>
      </c>
      <c r="K8" s="28" t="s">
        <v>562</v>
      </c>
    </row>
    <row r="9" spans="2:11" ht="15.75" thickBot="1" x14ac:dyDescent="0.3">
      <c r="B9" s="38" t="s">
        <v>24</v>
      </c>
      <c r="C9" s="38" t="s">
        <v>537</v>
      </c>
      <c r="D9" s="38" t="s">
        <v>538</v>
      </c>
      <c r="E9" s="38" t="s">
        <v>58</v>
      </c>
      <c r="F9" s="45" t="s">
        <v>70</v>
      </c>
      <c r="H9" s="32" t="s">
        <v>563</v>
      </c>
      <c r="I9" s="33" t="s">
        <v>564</v>
      </c>
      <c r="J9" s="33" t="s">
        <v>565</v>
      </c>
      <c r="K9" s="34" t="s">
        <v>676</v>
      </c>
    </row>
    <row r="10" spans="2:11" x14ac:dyDescent="0.25">
      <c r="B10" s="39" t="s">
        <v>25</v>
      </c>
      <c r="C10" s="39" t="s">
        <v>37</v>
      </c>
      <c r="D10" s="39" t="s">
        <v>49</v>
      </c>
      <c r="E10" s="39" t="s">
        <v>59</v>
      </c>
      <c r="F10" s="39" t="s">
        <v>71</v>
      </c>
      <c r="H10" s="6"/>
      <c r="I10" s="6"/>
      <c r="J10" s="6"/>
      <c r="K10" s="6"/>
    </row>
    <row r="11" spans="2:11" x14ac:dyDescent="0.25">
      <c r="B11" s="38" t="s">
        <v>26</v>
      </c>
      <c r="C11" s="38" t="s">
        <v>38</v>
      </c>
      <c r="D11" s="38" t="s">
        <v>50</v>
      </c>
      <c r="E11" s="44" t="s">
        <v>60</v>
      </c>
      <c r="F11" s="46" t="s">
        <v>72</v>
      </c>
      <c r="H11" s="6"/>
      <c r="I11" s="6"/>
      <c r="J11" s="6"/>
      <c r="K11" s="6"/>
    </row>
    <row r="12" spans="2:11" x14ac:dyDescent="0.25">
      <c r="B12" s="39" t="s">
        <v>27</v>
      </c>
      <c r="C12" s="39" t="s">
        <v>39</v>
      </c>
      <c r="D12" s="39" t="s">
        <v>539</v>
      </c>
      <c r="E12" s="39" t="s">
        <v>61</v>
      </c>
      <c r="F12" s="39" t="s">
        <v>73</v>
      </c>
      <c r="H12" s="6"/>
      <c r="I12" s="6"/>
      <c r="J12" s="6"/>
      <c r="K12" s="6"/>
    </row>
    <row r="13" spans="2:11" x14ac:dyDescent="0.25">
      <c r="B13" s="38" t="s">
        <v>28</v>
      </c>
      <c r="C13" s="38" t="s">
        <v>40</v>
      </c>
      <c r="D13" s="38" t="s">
        <v>51</v>
      </c>
      <c r="E13" s="38" t="s">
        <v>62</v>
      </c>
      <c r="F13" s="38" t="s">
        <v>74</v>
      </c>
      <c r="H13" s="6"/>
      <c r="I13" s="6"/>
      <c r="J13" s="6"/>
      <c r="K13" s="6"/>
    </row>
    <row r="14" spans="2:11" x14ac:dyDescent="0.25">
      <c r="B14" s="39" t="s">
        <v>29</v>
      </c>
      <c r="C14" s="39" t="s">
        <v>41</v>
      </c>
      <c r="D14" s="39" t="s">
        <v>52</v>
      </c>
      <c r="E14" s="39" t="s">
        <v>63</v>
      </c>
      <c r="F14" s="39" t="s">
        <v>75</v>
      </c>
      <c r="H14" s="6"/>
      <c r="I14" s="6"/>
      <c r="J14" s="6"/>
      <c r="K14" s="6"/>
    </row>
    <row r="15" spans="2:11" x14ac:dyDescent="0.25">
      <c r="B15" s="38" t="s">
        <v>30</v>
      </c>
      <c r="C15" s="42" t="s">
        <v>42</v>
      </c>
      <c r="D15" s="38" t="s">
        <v>53</v>
      </c>
      <c r="E15" s="38" t="s">
        <v>64</v>
      </c>
      <c r="F15" s="38" t="s">
        <v>76</v>
      </c>
      <c r="H15" s="6"/>
      <c r="I15" s="6"/>
      <c r="J15" s="6"/>
      <c r="K15" s="6"/>
    </row>
    <row r="16" spans="2:11" ht="15.75" thickBot="1" x14ac:dyDescent="0.3">
      <c r="B16" s="41" t="s">
        <v>31</v>
      </c>
      <c r="C16" s="43" t="s">
        <v>43</v>
      </c>
      <c r="D16" s="41" t="s">
        <v>286</v>
      </c>
      <c r="E16" s="41" t="s">
        <v>65</v>
      </c>
      <c r="F16" s="41" t="s">
        <v>77</v>
      </c>
      <c r="H16" s="6"/>
      <c r="I16" s="6"/>
      <c r="J16" s="6"/>
      <c r="K16" s="6"/>
    </row>
    <row r="17" spans="2:11" s="6" customFormat="1" x14ac:dyDescent="0.25"/>
    <row r="18" spans="2:11" s="6" customFormat="1" x14ac:dyDescent="0.25"/>
    <row r="19" spans="2:11" s="6" customFormat="1" x14ac:dyDescent="0.25"/>
    <row r="20" spans="2:11" s="6" customFormat="1" x14ac:dyDescent="0.25"/>
    <row r="21" spans="2:11" s="6" customFormat="1" x14ac:dyDescent="0.25"/>
    <row r="22" spans="2:11" s="6" customFormat="1" x14ac:dyDescent="0.25"/>
    <row r="23" spans="2:11" s="6" customFormat="1" x14ac:dyDescent="0.25"/>
    <row r="24" spans="2:11" s="6" customFormat="1" x14ac:dyDescent="0.25"/>
    <row r="25" spans="2:11" s="6" customFormat="1" x14ac:dyDescent="0.25"/>
    <row r="26" spans="2:11" s="6" customFormat="1" x14ac:dyDescent="0.25"/>
    <row r="27" spans="2:11" s="6" customFormat="1" x14ac:dyDescent="0.25"/>
    <row r="28" spans="2:11" s="6" customFormat="1" x14ac:dyDescent="0.25"/>
    <row r="29" spans="2:11" s="6" customFormat="1" x14ac:dyDescent="0.25">
      <c r="B29" s="7"/>
      <c r="C29" s="7"/>
      <c r="D29" s="7"/>
      <c r="E29" s="7"/>
      <c r="F29" s="7"/>
      <c r="G29" s="7"/>
      <c r="H29" s="7"/>
      <c r="I29" s="7"/>
    </row>
    <row r="30" spans="2:11" s="6" customFormat="1" x14ac:dyDescent="0.25"/>
    <row r="31" spans="2:11" x14ac:dyDescent="0.25">
      <c r="B31" s="6"/>
      <c r="C31" s="6"/>
      <c r="D31" s="6"/>
      <c r="E31" s="6"/>
      <c r="F31" s="6"/>
      <c r="H31" s="6"/>
      <c r="I31" s="6"/>
      <c r="J31" s="6"/>
      <c r="K31" s="6"/>
    </row>
    <row r="32" spans="2:11" x14ac:dyDescent="0.25">
      <c r="B32" s="6"/>
      <c r="C32" s="6"/>
      <c r="D32" s="6"/>
      <c r="E32" s="6"/>
      <c r="F32" s="6"/>
      <c r="H32" s="6"/>
      <c r="I32" s="6"/>
      <c r="J32" s="6"/>
      <c r="K32" s="6"/>
    </row>
    <row r="33" spans="2:11" x14ac:dyDescent="0.25">
      <c r="B33" s="6"/>
      <c r="C33" s="6"/>
      <c r="D33" s="6"/>
      <c r="E33" s="6"/>
      <c r="F33" s="6"/>
      <c r="H33" s="6"/>
      <c r="I33" s="6"/>
      <c r="J33" s="6"/>
      <c r="K33" s="6"/>
    </row>
    <row r="34" spans="2:11" x14ac:dyDescent="0.25">
      <c r="B34" s="6"/>
      <c r="C34" s="6"/>
      <c r="D34" s="6"/>
      <c r="E34" s="6"/>
      <c r="F34" s="6"/>
      <c r="H34" s="6"/>
      <c r="I34" s="6"/>
      <c r="J34" s="6"/>
      <c r="K34" s="6"/>
    </row>
    <row r="35" spans="2:11" x14ac:dyDescent="0.25">
      <c r="B35" s="6"/>
      <c r="C35" s="6"/>
      <c r="D35" s="6"/>
      <c r="E35" s="6"/>
      <c r="F35" s="6"/>
      <c r="H35" s="6"/>
      <c r="I35" s="6"/>
      <c r="J35" s="6"/>
      <c r="K35" s="6"/>
    </row>
    <row r="36" spans="2:11" x14ac:dyDescent="0.25">
      <c r="B36" s="6"/>
      <c r="C36" s="6"/>
      <c r="D36" s="6"/>
      <c r="E36" s="6"/>
      <c r="F36" s="6"/>
      <c r="H36" s="6"/>
      <c r="I36" s="6"/>
      <c r="J36" s="6"/>
      <c r="K36" s="6"/>
    </row>
    <row r="37" spans="2:11" x14ac:dyDescent="0.25">
      <c r="B37" s="6"/>
      <c r="C37" s="6"/>
      <c r="D37" s="6"/>
      <c r="E37" s="6"/>
      <c r="F37" s="6"/>
      <c r="H37" s="6"/>
      <c r="I37" s="6"/>
      <c r="J37" s="6"/>
      <c r="K37" s="6"/>
    </row>
    <row r="38" spans="2:11" x14ac:dyDescent="0.25">
      <c r="B38" s="6"/>
      <c r="C38" s="6"/>
      <c r="D38" s="6"/>
      <c r="E38" s="6"/>
      <c r="F38" s="6"/>
      <c r="H38" s="6"/>
      <c r="I38" s="6"/>
      <c r="J38" s="6"/>
      <c r="K38" s="6"/>
    </row>
    <row r="39" spans="2:11" x14ac:dyDescent="0.25">
      <c r="B39" s="6"/>
      <c r="C39" s="6"/>
      <c r="D39" s="6"/>
      <c r="E39" s="6"/>
      <c r="F39" s="6"/>
      <c r="H39" s="6"/>
      <c r="I39" s="6"/>
      <c r="J39" s="6"/>
      <c r="K39" s="6"/>
    </row>
    <row r="40" spans="2:11" x14ac:dyDescent="0.25">
      <c r="B40" s="6"/>
      <c r="C40" s="6"/>
      <c r="D40" s="6"/>
      <c r="E40" s="6"/>
      <c r="F40" s="6"/>
      <c r="H40" s="6"/>
      <c r="I40" s="6"/>
      <c r="J40" s="6"/>
      <c r="K40" s="6"/>
    </row>
    <row r="41" spans="2:11" x14ac:dyDescent="0.25">
      <c r="B41" s="6"/>
      <c r="C41" s="6"/>
      <c r="D41" s="6"/>
      <c r="E41" s="6"/>
      <c r="F41" s="6"/>
      <c r="H41" s="6"/>
      <c r="I41" s="6"/>
      <c r="J41" s="6"/>
      <c r="K41" s="6"/>
    </row>
    <row r="42" spans="2:11" x14ac:dyDescent="0.25">
      <c r="B42" s="6"/>
      <c r="C42" s="6"/>
      <c r="D42" s="6"/>
      <c r="E42" s="6"/>
      <c r="F42" s="6"/>
      <c r="H42" s="6"/>
      <c r="I42" s="6"/>
      <c r="J42" s="6"/>
      <c r="K42" s="6"/>
    </row>
    <row r="43" spans="2:11" x14ac:dyDescent="0.25">
      <c r="B43" s="6"/>
      <c r="C43" s="6"/>
      <c r="D43" s="6"/>
      <c r="E43" s="6"/>
      <c r="F43" s="6"/>
      <c r="H43" s="6"/>
      <c r="I43" s="6"/>
      <c r="J43" s="6"/>
      <c r="K43" s="6"/>
    </row>
    <row r="44" spans="2:11" x14ac:dyDescent="0.25">
      <c r="B44" s="6"/>
      <c r="C44" s="6"/>
      <c r="D44" s="6"/>
      <c r="E44" s="6"/>
      <c r="F44" s="6"/>
      <c r="H44" s="6"/>
      <c r="I44" s="6"/>
      <c r="J44" s="6"/>
      <c r="K44" s="6"/>
    </row>
    <row r="45" spans="2:11" x14ac:dyDescent="0.25">
      <c r="B45" s="6"/>
      <c r="C45" s="6"/>
      <c r="D45" s="6"/>
      <c r="E45" s="6"/>
      <c r="F45" s="6"/>
      <c r="H45" s="6"/>
      <c r="I45" s="6"/>
      <c r="J45" s="6"/>
      <c r="K45" s="6"/>
    </row>
    <row r="46" spans="2:11" x14ac:dyDescent="0.25">
      <c r="B46" s="6"/>
      <c r="C46" s="6"/>
      <c r="D46" s="6"/>
      <c r="E46" s="6"/>
      <c r="F46" s="6"/>
      <c r="H46" s="6"/>
      <c r="I46" s="6"/>
      <c r="J46" s="6"/>
      <c r="K46" s="6"/>
    </row>
    <row r="47" spans="2:11" x14ac:dyDescent="0.25">
      <c r="B47" s="6"/>
      <c r="C47" s="6"/>
      <c r="D47" s="6"/>
      <c r="E47" s="6"/>
      <c r="F47" s="6"/>
      <c r="H47" s="6"/>
      <c r="I47" s="6"/>
      <c r="J47" s="6"/>
      <c r="K47" s="6"/>
    </row>
    <row r="48" spans="2:11" x14ac:dyDescent="0.25">
      <c r="B48" s="6"/>
      <c r="C48" s="6"/>
      <c r="D48" s="6"/>
      <c r="E48" s="6"/>
      <c r="F48" s="6"/>
      <c r="H48" s="6"/>
      <c r="I48" s="6"/>
      <c r="J48" s="6"/>
      <c r="K48" s="6"/>
    </row>
    <row r="49" spans="2:11" x14ac:dyDescent="0.25">
      <c r="B49" s="6"/>
      <c r="C49" s="6"/>
      <c r="D49" s="6"/>
      <c r="E49" s="6"/>
      <c r="F49" s="6"/>
      <c r="H49" s="6"/>
      <c r="I49" s="6"/>
      <c r="J49" s="6"/>
      <c r="K49" s="6"/>
    </row>
    <row r="50" spans="2:11" x14ac:dyDescent="0.25">
      <c r="B50" s="6"/>
      <c r="C50" s="6"/>
      <c r="D50" s="6"/>
      <c r="E50" s="6"/>
      <c r="F50" s="6"/>
      <c r="H50" s="6"/>
      <c r="I50" s="6"/>
      <c r="J50" s="6"/>
      <c r="K50" s="6"/>
    </row>
    <row r="51" spans="2:11" x14ac:dyDescent="0.25">
      <c r="B51" s="6"/>
      <c r="C51" s="6"/>
      <c r="D51" s="6"/>
      <c r="E51" s="6"/>
      <c r="F51" s="6"/>
      <c r="H51" s="6"/>
      <c r="I51" s="6"/>
      <c r="J51" s="6"/>
      <c r="K51" s="6"/>
    </row>
    <row r="52" spans="2:11" x14ac:dyDescent="0.25">
      <c r="B52" s="6"/>
      <c r="C52" s="6"/>
      <c r="D52" s="6"/>
      <c r="E52" s="6"/>
      <c r="F52" s="6"/>
      <c r="H52" s="6"/>
      <c r="I52" s="6"/>
      <c r="J52" s="6"/>
      <c r="K52" s="6"/>
    </row>
    <row r="53" spans="2:11" x14ac:dyDescent="0.25">
      <c r="B53" s="6"/>
      <c r="C53" s="6"/>
      <c r="D53" s="6"/>
      <c r="E53" s="6"/>
      <c r="F53" s="6"/>
      <c r="H53" s="6"/>
      <c r="I53" s="6"/>
      <c r="J53" s="6"/>
      <c r="K53" s="6"/>
    </row>
    <row r="54" spans="2:11" x14ac:dyDescent="0.25">
      <c r="B54" s="6"/>
      <c r="C54" s="6"/>
      <c r="D54" s="6"/>
      <c r="E54" s="6"/>
      <c r="F54" s="6"/>
      <c r="H54" s="6"/>
      <c r="I54" s="6"/>
      <c r="J54" s="6"/>
      <c r="K54" s="6"/>
    </row>
    <row r="55" spans="2:11" x14ac:dyDescent="0.25">
      <c r="B55" s="6"/>
      <c r="C55" s="6"/>
      <c r="D55" s="6"/>
      <c r="E55" s="6"/>
      <c r="F55" s="6"/>
      <c r="H55" s="6"/>
      <c r="I55" s="6"/>
      <c r="J55" s="6"/>
      <c r="K55" s="6"/>
    </row>
    <row r="56" spans="2:11" x14ac:dyDescent="0.25">
      <c r="B56" s="6"/>
      <c r="C56" s="6"/>
      <c r="D56" s="6"/>
      <c r="E56" s="6"/>
      <c r="F56" s="6"/>
      <c r="H56" s="6"/>
      <c r="I56" s="6"/>
      <c r="J56" s="6"/>
      <c r="K56" s="6"/>
    </row>
    <row r="57" spans="2:11" x14ac:dyDescent="0.25">
      <c r="B57" s="6"/>
      <c r="C57" s="6"/>
      <c r="D57" s="6"/>
      <c r="E57" s="6"/>
      <c r="F57" s="6"/>
      <c r="H57" s="6"/>
      <c r="I57" s="6"/>
      <c r="J57" s="6"/>
      <c r="K57" s="6"/>
    </row>
    <row r="58" spans="2:11" x14ac:dyDescent="0.25">
      <c r="B58" s="6"/>
      <c r="C58" s="6"/>
      <c r="D58" s="6"/>
      <c r="E58" s="6"/>
      <c r="F58" s="6"/>
      <c r="H58" s="6"/>
      <c r="I58" s="6"/>
      <c r="J58" s="6"/>
      <c r="K58" s="6"/>
    </row>
    <row r="59" spans="2:11" x14ac:dyDescent="0.25">
      <c r="B59" s="6"/>
      <c r="C59" s="6"/>
      <c r="D59" s="6"/>
      <c r="E59" s="6"/>
      <c r="F59" s="6"/>
      <c r="H59" s="6"/>
      <c r="I59" s="6"/>
      <c r="J59" s="6"/>
      <c r="K59" s="6"/>
    </row>
    <row r="60" spans="2:11" x14ac:dyDescent="0.25">
      <c r="B60" s="6"/>
      <c r="C60" s="6"/>
      <c r="D60" s="6"/>
      <c r="E60" s="6"/>
      <c r="F60" s="6"/>
      <c r="H60" s="6"/>
      <c r="I60" s="6"/>
      <c r="J60" s="6"/>
      <c r="K60" s="6"/>
    </row>
    <row r="61" spans="2:11" x14ac:dyDescent="0.25">
      <c r="B61" s="6"/>
      <c r="C61" s="6"/>
      <c r="D61" s="6"/>
      <c r="E61" s="6"/>
      <c r="F61" s="6"/>
      <c r="H61" s="6"/>
      <c r="I61" s="6"/>
      <c r="J61" s="6"/>
      <c r="K61" s="6"/>
    </row>
    <row r="62" spans="2:11" x14ac:dyDescent="0.25">
      <c r="B62" s="6"/>
      <c r="C62" s="6"/>
      <c r="D62" s="6"/>
      <c r="E62" s="6"/>
      <c r="F62" s="6"/>
      <c r="H62" s="6"/>
      <c r="I62" s="6"/>
      <c r="J62" s="6"/>
      <c r="K62" s="6"/>
    </row>
    <row r="63" spans="2:11" x14ac:dyDescent="0.25">
      <c r="B63" s="6"/>
      <c r="C63" s="6"/>
      <c r="D63" s="6"/>
      <c r="E63" s="6"/>
      <c r="F63" s="6"/>
      <c r="H63" s="6"/>
      <c r="I63" s="6"/>
      <c r="J63" s="6"/>
      <c r="K63" s="6"/>
    </row>
    <row r="64" spans="2:11" x14ac:dyDescent="0.25">
      <c r="B64" s="6"/>
      <c r="C64" s="6"/>
      <c r="D64" s="6"/>
      <c r="E64" s="6"/>
      <c r="F64" s="6"/>
      <c r="H64" s="6"/>
      <c r="I64" s="6"/>
      <c r="J64" s="6"/>
      <c r="K64" s="6"/>
    </row>
    <row r="65" spans="2:11" x14ac:dyDescent="0.25">
      <c r="B65" s="6"/>
      <c r="C65" s="6"/>
      <c r="D65" s="6"/>
      <c r="E65" s="6"/>
      <c r="F65" s="6"/>
      <c r="H65" s="6"/>
      <c r="I65" s="6"/>
      <c r="J65" s="6"/>
      <c r="K65" s="6"/>
    </row>
    <row r="66" spans="2:11" x14ac:dyDescent="0.25">
      <c r="B66" s="6"/>
      <c r="C66" s="6"/>
      <c r="D66" s="6"/>
      <c r="E66" s="6"/>
      <c r="F66" s="6"/>
      <c r="H66" s="6"/>
      <c r="I66" s="6"/>
      <c r="J66" s="6"/>
      <c r="K66" s="6"/>
    </row>
    <row r="67" spans="2:11" x14ac:dyDescent="0.25">
      <c r="B67" s="6"/>
      <c r="C67" s="6"/>
      <c r="D67" s="6"/>
      <c r="E67" s="6"/>
      <c r="F67" s="6"/>
      <c r="H67" s="6"/>
      <c r="I67" s="6"/>
      <c r="J67" s="6"/>
      <c r="K67" s="6"/>
    </row>
    <row r="68" spans="2:11" x14ac:dyDescent="0.25">
      <c r="B68" s="6"/>
      <c r="C68" s="6"/>
      <c r="D68" s="6"/>
      <c r="E68" s="6"/>
      <c r="F68" s="6"/>
      <c r="H68" s="6"/>
      <c r="I68" s="6"/>
      <c r="J68" s="6"/>
      <c r="K68" s="6"/>
    </row>
    <row r="69" spans="2:11" x14ac:dyDescent="0.25">
      <c r="B69" s="6"/>
      <c r="C69" s="6"/>
      <c r="D69" s="6"/>
      <c r="E69" s="6"/>
      <c r="F69" s="6"/>
      <c r="H69" s="6"/>
      <c r="I69" s="6"/>
      <c r="J69" s="6"/>
      <c r="K69" s="6"/>
    </row>
    <row r="70" spans="2:11" x14ac:dyDescent="0.25">
      <c r="B70" s="6"/>
      <c r="C70" s="6"/>
      <c r="D70" s="6"/>
      <c r="E70" s="6"/>
      <c r="F70" s="6"/>
      <c r="H70" s="6"/>
      <c r="I70" s="6"/>
      <c r="J70" s="6"/>
      <c r="K70" s="6"/>
    </row>
    <row r="71" spans="2:11" x14ac:dyDescent="0.25">
      <c r="B71" s="6"/>
      <c r="C71" s="6"/>
      <c r="D71" s="6"/>
      <c r="E71" s="6"/>
      <c r="F71" s="6"/>
      <c r="H71" s="6"/>
      <c r="I71" s="6"/>
      <c r="J71" s="6"/>
      <c r="K71" s="6"/>
    </row>
    <row r="72" spans="2:11" x14ac:dyDescent="0.25">
      <c r="B72" s="6"/>
      <c r="C72" s="6"/>
      <c r="D72" s="6"/>
      <c r="E72" s="6"/>
      <c r="F72" s="6"/>
      <c r="H72" s="6"/>
      <c r="I72" s="6"/>
      <c r="J72" s="6"/>
      <c r="K72" s="6"/>
    </row>
    <row r="73" spans="2:11" x14ac:dyDescent="0.25">
      <c r="B73" s="6"/>
      <c r="C73" s="6"/>
      <c r="D73" s="6"/>
      <c r="E73" s="6"/>
      <c r="F73" s="6"/>
      <c r="H73" s="6"/>
      <c r="I73" s="6"/>
      <c r="J73" s="6"/>
      <c r="K73" s="6"/>
    </row>
    <row r="74" spans="2:11" x14ac:dyDescent="0.25">
      <c r="B74" s="6"/>
      <c r="C74" s="6"/>
      <c r="D74" s="6"/>
      <c r="E74" s="6"/>
      <c r="F74" s="6"/>
      <c r="H74" s="6"/>
      <c r="I74" s="6"/>
      <c r="J74" s="6"/>
      <c r="K74" s="6"/>
    </row>
    <row r="75" spans="2:11" x14ac:dyDescent="0.25">
      <c r="B75" s="6"/>
      <c r="C75" s="6"/>
      <c r="D75" s="6"/>
      <c r="E75" s="6"/>
      <c r="F75" s="6"/>
      <c r="H75" s="6"/>
      <c r="I75" s="6"/>
      <c r="J75" s="6"/>
      <c r="K75" s="6"/>
    </row>
    <row r="76" spans="2:11" x14ac:dyDescent="0.25">
      <c r="B76" s="6"/>
      <c r="C76" s="6"/>
      <c r="D76" s="6"/>
      <c r="E76" s="6"/>
      <c r="F76" s="6"/>
      <c r="H76" s="6"/>
      <c r="I76" s="6"/>
      <c r="J76" s="6"/>
      <c r="K76" s="6"/>
    </row>
    <row r="77" spans="2:11" x14ac:dyDescent="0.25">
      <c r="B77" s="6"/>
      <c r="C77" s="6"/>
      <c r="D77" s="6"/>
      <c r="E77" s="6"/>
      <c r="F77" s="6"/>
      <c r="H77" s="6"/>
      <c r="I77" s="6"/>
      <c r="J77" s="6"/>
      <c r="K77" s="6"/>
    </row>
    <row r="78" spans="2:11" x14ac:dyDescent="0.25">
      <c r="B78" s="6"/>
      <c r="C78" s="6"/>
      <c r="D78" s="6"/>
      <c r="E78" s="6"/>
      <c r="F78" s="6"/>
      <c r="H78" s="6"/>
      <c r="I78" s="6"/>
      <c r="J78" s="6"/>
      <c r="K78" s="6"/>
    </row>
    <row r="79" spans="2:11" x14ac:dyDescent="0.25">
      <c r="B79" s="6"/>
      <c r="C79" s="6"/>
      <c r="D79" s="6"/>
      <c r="E79" s="6"/>
      <c r="F79" s="6"/>
      <c r="H79" s="6"/>
      <c r="I79" s="6"/>
      <c r="J79" s="6"/>
      <c r="K79" s="6"/>
    </row>
    <row r="80" spans="2:11" x14ac:dyDescent="0.25">
      <c r="B80" s="6"/>
      <c r="C80" s="6"/>
      <c r="D80" s="6"/>
      <c r="E80" s="6"/>
      <c r="F80" s="6"/>
      <c r="H80" s="6"/>
      <c r="I80" s="6"/>
      <c r="J80" s="6"/>
      <c r="K80" s="6"/>
    </row>
    <row r="81" spans="2:11" x14ac:dyDescent="0.25">
      <c r="B81" s="6"/>
      <c r="C81" s="6"/>
      <c r="D81" s="6"/>
      <c r="E81" s="6"/>
      <c r="F81" s="6"/>
      <c r="H81" s="6"/>
      <c r="I81" s="6"/>
      <c r="J81" s="6"/>
      <c r="K81" s="6"/>
    </row>
    <row r="82" spans="2:11" x14ac:dyDescent="0.25">
      <c r="B82" s="6"/>
      <c r="C82" s="6"/>
      <c r="D82" s="6"/>
      <c r="E82" s="6"/>
      <c r="F82" s="6"/>
      <c r="H82" s="6"/>
      <c r="I82" s="6"/>
      <c r="J82" s="6"/>
      <c r="K82" s="6"/>
    </row>
    <row r="83" spans="2:11" x14ac:dyDescent="0.25">
      <c r="B83" s="6"/>
      <c r="C83" s="6"/>
      <c r="D83" s="6"/>
      <c r="E83" s="6"/>
      <c r="F83" s="6"/>
      <c r="H83" s="6"/>
      <c r="I83" s="6"/>
      <c r="J83" s="6"/>
      <c r="K83" s="6"/>
    </row>
    <row r="84" spans="2:11" x14ac:dyDescent="0.25">
      <c r="B84" s="6"/>
      <c r="C84" s="6"/>
      <c r="D84" s="6"/>
      <c r="E84" s="6"/>
      <c r="F84" s="6"/>
      <c r="H84" s="6"/>
      <c r="I84" s="6"/>
      <c r="J84" s="6"/>
      <c r="K84" s="6"/>
    </row>
    <row r="85" spans="2:11" x14ac:dyDescent="0.25">
      <c r="B85" s="6"/>
      <c r="C85" s="6"/>
      <c r="D85" s="6"/>
      <c r="E85" s="6"/>
      <c r="F85" s="6"/>
      <c r="H85" s="6"/>
      <c r="I85" s="6"/>
      <c r="J85" s="6"/>
      <c r="K85" s="6"/>
    </row>
    <row r="86" spans="2:11" x14ac:dyDescent="0.25">
      <c r="B86" s="6"/>
      <c r="C86" s="6"/>
      <c r="D86" s="6"/>
      <c r="E86" s="6"/>
      <c r="F86" s="6"/>
      <c r="H86" s="6"/>
      <c r="I86" s="6"/>
      <c r="J86" s="6"/>
      <c r="K86" s="6"/>
    </row>
    <row r="87" spans="2:11" x14ac:dyDescent="0.25">
      <c r="B87" s="6"/>
      <c r="C87" s="6"/>
      <c r="D87" s="6"/>
      <c r="E87" s="6"/>
      <c r="F87" s="6"/>
      <c r="H87" s="6"/>
      <c r="I87" s="6"/>
      <c r="J87" s="6"/>
      <c r="K87" s="6"/>
    </row>
    <row r="88" spans="2:11" x14ac:dyDescent="0.25">
      <c r="B88" s="6"/>
      <c r="C88" s="6"/>
      <c r="D88" s="6"/>
      <c r="E88" s="6"/>
      <c r="F88" s="6"/>
      <c r="H88" s="6"/>
      <c r="I88" s="6"/>
      <c r="J88" s="6"/>
      <c r="K88" s="6"/>
    </row>
    <row r="89" spans="2:11" x14ac:dyDescent="0.25">
      <c r="B89" s="6"/>
      <c r="C89" s="6"/>
      <c r="D89" s="6"/>
      <c r="E89" s="6"/>
      <c r="F89" s="6"/>
      <c r="H89" s="6"/>
      <c r="I89" s="6"/>
      <c r="J89" s="6"/>
      <c r="K89" s="6"/>
    </row>
    <row r="90" spans="2:11" x14ac:dyDescent="0.25">
      <c r="B90" s="6"/>
      <c r="C90" s="6"/>
      <c r="D90" s="6"/>
      <c r="E90" s="6"/>
      <c r="F90" s="6"/>
      <c r="H90" s="6"/>
      <c r="I90" s="6"/>
      <c r="J90" s="6"/>
      <c r="K90" s="6"/>
    </row>
    <row r="91" spans="2:11" x14ac:dyDescent="0.25">
      <c r="B91" s="6"/>
      <c r="C91" s="6"/>
      <c r="D91" s="6"/>
      <c r="E91" s="6"/>
      <c r="F91" s="6"/>
      <c r="H91" s="6"/>
      <c r="I91" s="6"/>
      <c r="J91" s="6"/>
      <c r="K91" s="6"/>
    </row>
    <row r="92" spans="2:11" x14ac:dyDescent="0.25">
      <c r="B92" s="6"/>
      <c r="C92" s="6"/>
      <c r="D92" s="6"/>
      <c r="E92" s="6"/>
      <c r="F92" s="6"/>
      <c r="H92" s="6"/>
      <c r="I92" s="6"/>
      <c r="J92" s="6"/>
      <c r="K92" s="6"/>
    </row>
    <row r="93" spans="2:11" x14ac:dyDescent="0.25">
      <c r="B93" s="6"/>
      <c r="C93" s="6"/>
      <c r="D93" s="6"/>
      <c r="E93" s="6"/>
      <c r="F93" s="6"/>
      <c r="H93" s="6"/>
      <c r="I93" s="6"/>
      <c r="J93" s="6"/>
      <c r="K93" s="6"/>
    </row>
    <row r="94" spans="2:11" x14ac:dyDescent="0.25">
      <c r="B94" s="6"/>
      <c r="C94" s="6"/>
      <c r="D94" s="6"/>
      <c r="E94" s="6"/>
      <c r="F94" s="6"/>
      <c r="H94" s="6"/>
      <c r="I94" s="6"/>
      <c r="J94" s="6"/>
      <c r="K94" s="6"/>
    </row>
    <row r="95" spans="2:11" x14ac:dyDescent="0.25">
      <c r="B95" s="6"/>
      <c r="C95" s="6"/>
      <c r="D95" s="6"/>
      <c r="E95" s="6"/>
      <c r="F95" s="6"/>
      <c r="H95" s="6"/>
      <c r="I95" s="6"/>
      <c r="J95" s="6"/>
      <c r="K95" s="6"/>
    </row>
    <row r="96" spans="2:11" x14ac:dyDescent="0.25">
      <c r="B96" s="6"/>
      <c r="C96" s="6"/>
      <c r="D96" s="6"/>
      <c r="E96" s="6"/>
      <c r="F96" s="6"/>
      <c r="H96" s="6"/>
      <c r="I96" s="6"/>
      <c r="J96" s="6"/>
      <c r="K96" s="6"/>
    </row>
    <row r="97" spans="2:11" x14ac:dyDescent="0.25">
      <c r="B97" s="6"/>
      <c r="C97" s="6"/>
      <c r="D97" s="6"/>
      <c r="E97" s="6"/>
      <c r="F97" s="6"/>
      <c r="H97" s="6"/>
      <c r="I97" s="6"/>
      <c r="J97" s="6"/>
      <c r="K97" s="6"/>
    </row>
    <row r="98" spans="2:11" x14ac:dyDescent="0.25">
      <c r="B98" s="6"/>
      <c r="C98" s="6"/>
      <c r="D98" s="6"/>
      <c r="E98" s="6"/>
      <c r="F98" s="6"/>
      <c r="H98" s="6"/>
      <c r="I98" s="6"/>
      <c r="J98" s="6"/>
      <c r="K98" s="6"/>
    </row>
    <row r="99" spans="2:11" x14ac:dyDescent="0.25">
      <c r="B99" s="6"/>
      <c r="C99" s="6"/>
      <c r="D99" s="6"/>
      <c r="E99" s="6"/>
      <c r="F99" s="6"/>
      <c r="H99" s="6"/>
      <c r="I99" s="6"/>
      <c r="J99" s="6"/>
      <c r="K99" s="6"/>
    </row>
    <row r="100" spans="2:11" x14ac:dyDescent="0.25">
      <c r="B100" s="6"/>
      <c r="C100" s="6"/>
      <c r="D100" s="6"/>
      <c r="E100" s="6"/>
      <c r="F100" s="6"/>
      <c r="H100" s="6"/>
      <c r="I100" s="6"/>
      <c r="J100" s="6"/>
      <c r="K100" s="6"/>
    </row>
    <row r="101" spans="2:11" x14ac:dyDescent="0.25">
      <c r="B101" s="6"/>
      <c r="C101" s="6"/>
      <c r="D101" s="6"/>
      <c r="E101" s="6"/>
      <c r="F101" s="6"/>
      <c r="H101" s="6"/>
      <c r="I101" s="6"/>
      <c r="J101" s="6"/>
      <c r="K101" s="6"/>
    </row>
    <row r="102" spans="2:11" x14ac:dyDescent="0.25">
      <c r="B102" s="6"/>
      <c r="C102" s="6"/>
      <c r="D102" s="6"/>
      <c r="E102" s="6"/>
      <c r="F102" s="6"/>
      <c r="H102" s="6"/>
      <c r="I102" s="6"/>
      <c r="J102" s="6"/>
      <c r="K102" s="6"/>
    </row>
    <row r="103" spans="2:11" x14ac:dyDescent="0.25">
      <c r="B103" s="6"/>
      <c r="C103" s="6"/>
      <c r="D103" s="6"/>
      <c r="E103" s="6"/>
      <c r="F103" s="6"/>
      <c r="H103" s="6"/>
      <c r="I103" s="6"/>
      <c r="J103" s="6"/>
      <c r="K103" s="6"/>
    </row>
    <row r="104" spans="2:11" x14ac:dyDescent="0.25">
      <c r="B104" s="6"/>
      <c r="C104" s="6"/>
      <c r="D104" s="6"/>
      <c r="E104" s="6"/>
      <c r="F104" s="6"/>
      <c r="H104" s="6"/>
      <c r="I104" s="6"/>
      <c r="J104" s="6"/>
      <c r="K104" s="6"/>
    </row>
    <row r="105" spans="2:11" x14ac:dyDescent="0.25">
      <c r="B105" s="6"/>
      <c r="C105" s="6"/>
      <c r="D105" s="6"/>
      <c r="E105" s="6"/>
      <c r="F105" s="6"/>
      <c r="H105" s="6"/>
      <c r="I105" s="6"/>
      <c r="J105" s="6"/>
      <c r="K105" s="6"/>
    </row>
    <row r="106" spans="2:11" x14ac:dyDescent="0.25">
      <c r="B106" s="6"/>
      <c r="C106" s="6"/>
      <c r="D106" s="6"/>
      <c r="E106" s="6"/>
      <c r="F106" s="6"/>
      <c r="H106" s="6"/>
      <c r="I106" s="6"/>
      <c r="J106" s="6"/>
      <c r="K106" s="6"/>
    </row>
  </sheetData>
  <sheetProtection sheet="1" objects="1" scenarios="1"/>
  <mergeCells count="3">
    <mergeCell ref="H2:K2"/>
    <mergeCell ref="B2:F2"/>
    <mergeCell ref="B3:F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6F7B-7997-44BA-ACA8-7225D77F7795}">
  <dimension ref="A1:C5"/>
  <sheetViews>
    <sheetView showGridLines="0" workbookViewId="0">
      <selection activeCell="A6" sqref="A6:XFD1048576"/>
    </sheetView>
  </sheetViews>
  <sheetFormatPr defaultColWidth="0" defaultRowHeight="15" zeroHeight="1" x14ac:dyDescent="0.25"/>
  <cols>
    <col min="1" max="1" width="9.140625" customWidth="1"/>
    <col min="2" max="2" width="38.7109375" bestFit="1" customWidth="1"/>
    <col min="3" max="3" width="9.140625" customWidth="1"/>
    <col min="4" max="16384" width="9.140625" hidden="1"/>
  </cols>
  <sheetData>
    <row r="1" spans="2:2" x14ac:dyDescent="0.25"/>
    <row r="2" spans="2:2" x14ac:dyDescent="0.25">
      <c r="B2" t="s">
        <v>1057</v>
      </c>
    </row>
    <row r="3" spans="2:2" x14ac:dyDescent="0.25">
      <c r="B3" t="s">
        <v>1056</v>
      </c>
    </row>
    <row r="4" spans="2:2" x14ac:dyDescent="0.25">
      <c r="B4" s="244" t="str">
        <f>"Last edits: " &amp; TEXT(Overview!J16, "mmm dd, yyyy")</f>
        <v>Last edits: May 01, 2024</v>
      </c>
    </row>
    <row r="5" spans="2:2" x14ac:dyDescent="0.25"/>
  </sheetData>
  <sheetProtection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0000"/>
  </sheetPr>
  <dimension ref="A1:E15"/>
  <sheetViews>
    <sheetView workbookViewId="0">
      <selection activeCell="B12" sqref="B12"/>
    </sheetView>
  </sheetViews>
  <sheetFormatPr defaultRowHeight="15" x14ac:dyDescent="0.25"/>
  <cols>
    <col min="1" max="1" width="6.85546875" customWidth="1"/>
    <col min="2" max="2" width="39.28515625" customWidth="1"/>
    <col min="3" max="3" width="31.5703125" bestFit="1" customWidth="1"/>
    <col min="4" max="5" width="27.5703125" bestFit="1" customWidth="1"/>
  </cols>
  <sheetData>
    <row r="1" spans="1:5" x14ac:dyDescent="0.25">
      <c r="A1" s="151" t="s">
        <v>488</v>
      </c>
      <c r="B1" s="152" t="s">
        <v>682</v>
      </c>
      <c r="C1" s="152" t="s">
        <v>280</v>
      </c>
      <c r="D1" s="152" t="s">
        <v>282</v>
      </c>
      <c r="E1" s="153" t="s">
        <v>960</v>
      </c>
    </row>
    <row r="2" spans="1:5" x14ac:dyDescent="0.25">
      <c r="A2" s="154">
        <v>1</v>
      </c>
      <c r="B2" s="93">
        <v>1150000</v>
      </c>
      <c r="C2" s="93">
        <v>6</v>
      </c>
      <c r="D2" s="93">
        <v>1</v>
      </c>
      <c r="E2" s="155">
        <v>1</v>
      </c>
    </row>
    <row r="3" spans="1:5" x14ac:dyDescent="0.25">
      <c r="A3" s="154">
        <v>2</v>
      </c>
      <c r="B3" s="93">
        <v>1160000</v>
      </c>
      <c r="C3" s="93">
        <v>7</v>
      </c>
      <c r="D3" s="93">
        <v>1</v>
      </c>
      <c r="E3" s="156">
        <v>1</v>
      </c>
    </row>
    <row r="4" spans="1:5" x14ac:dyDescent="0.25">
      <c r="A4" s="154">
        <v>3</v>
      </c>
      <c r="B4" s="93">
        <v>1170000</v>
      </c>
      <c r="C4" s="93">
        <v>8</v>
      </c>
      <c r="D4" s="93">
        <v>2</v>
      </c>
      <c r="E4" s="156">
        <v>2</v>
      </c>
    </row>
    <row r="5" spans="1:5" x14ac:dyDescent="0.25">
      <c r="A5" s="154">
        <v>4</v>
      </c>
      <c r="B5" s="93">
        <v>1180000</v>
      </c>
      <c r="C5" s="93">
        <v>9</v>
      </c>
      <c r="D5" s="93">
        <v>2</v>
      </c>
      <c r="E5" s="156">
        <v>2</v>
      </c>
    </row>
    <row r="6" spans="1:5" x14ac:dyDescent="0.25">
      <c r="A6" s="154">
        <v>5</v>
      </c>
      <c r="B6" s="93">
        <v>1190000</v>
      </c>
      <c r="C6" s="93">
        <v>10</v>
      </c>
      <c r="D6" s="93">
        <v>3</v>
      </c>
      <c r="E6" s="156">
        <v>3</v>
      </c>
    </row>
    <row r="7" spans="1:5" ht="15.75" thickBot="1" x14ac:dyDescent="0.3">
      <c r="A7" s="157">
        <v>6</v>
      </c>
      <c r="B7" s="158">
        <v>1200000</v>
      </c>
      <c r="C7" s="158">
        <v>11</v>
      </c>
      <c r="D7" s="158">
        <v>11</v>
      </c>
      <c r="E7" s="159">
        <v>3</v>
      </c>
    </row>
    <row r="10" spans="1:5" x14ac:dyDescent="0.25">
      <c r="B10" s="149" t="s">
        <v>957</v>
      </c>
      <c r="C10" s="149" t="s">
        <v>971</v>
      </c>
    </row>
    <row r="11" spans="1:5" x14ac:dyDescent="0.25">
      <c r="B11" s="75" t="s">
        <v>958</v>
      </c>
      <c r="C11" s="75">
        <v>0</v>
      </c>
    </row>
    <row r="12" spans="1:5" x14ac:dyDescent="0.25">
      <c r="B12" s="75" t="s">
        <v>976</v>
      </c>
      <c r="C12" s="75">
        <v>1</v>
      </c>
    </row>
    <row r="13" spans="1:5" x14ac:dyDescent="0.25">
      <c r="B13" s="75" t="s">
        <v>959</v>
      </c>
      <c r="C13" s="75">
        <v>1</v>
      </c>
    </row>
    <row r="14" spans="1:5" x14ac:dyDescent="0.25">
      <c r="B14" s="75" t="s">
        <v>977</v>
      </c>
      <c r="C14" s="75">
        <v>2</v>
      </c>
    </row>
    <row r="15" spans="1:5" x14ac:dyDescent="0.25">
      <c r="B15" s="75" t="s">
        <v>970</v>
      </c>
      <c r="C15" s="75">
        <v>2</v>
      </c>
    </row>
  </sheetData>
  <phoneticPr fontId="2" type="noConversion"/>
  <pageMargins left="0.7" right="0.7" top="0.75" bottom="0.75" header="0.3" footer="0.3"/>
  <pageSetup paperSize="9" orientation="portrait" horizontalDpi="12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1">
    <tabColor rgb="FFFF0000"/>
  </sheetPr>
  <dimension ref="A1:X122"/>
  <sheetViews>
    <sheetView zoomScale="60" zoomScaleNormal="60" workbookViewId="0"/>
  </sheetViews>
  <sheetFormatPr defaultColWidth="11.42578125" defaultRowHeight="15" x14ac:dyDescent="0.25"/>
  <cols>
    <col min="1" max="1" width="25.85546875" bestFit="1" customWidth="1"/>
    <col min="2" max="2" width="15.42578125" customWidth="1"/>
    <col min="6" max="6" width="13" customWidth="1"/>
    <col min="8" max="8" width="52" customWidth="1"/>
  </cols>
  <sheetData>
    <row r="1" spans="1:24" s="72" customFormat="1" x14ac:dyDescent="0.25">
      <c r="A1" s="97" t="s">
        <v>821</v>
      </c>
      <c r="B1" s="97" t="s">
        <v>832</v>
      </c>
      <c r="C1" s="97" t="s">
        <v>822</v>
      </c>
      <c r="D1" s="97" t="s">
        <v>527</v>
      </c>
      <c r="E1" s="97" t="s">
        <v>159</v>
      </c>
      <c r="F1" s="97" t="s">
        <v>575</v>
      </c>
      <c r="G1" s="97" t="s">
        <v>525</v>
      </c>
      <c r="H1" s="97" t="s">
        <v>160</v>
      </c>
      <c r="I1" s="97" t="s">
        <v>171</v>
      </c>
      <c r="J1" s="97" t="s">
        <v>811</v>
      </c>
      <c r="K1" s="97" t="s">
        <v>812</v>
      </c>
      <c r="L1" s="97" t="s">
        <v>820</v>
      </c>
      <c r="M1" s="97" t="s">
        <v>165</v>
      </c>
      <c r="N1" s="97" t="s">
        <v>818</v>
      </c>
      <c r="O1" s="97" t="s">
        <v>524</v>
      </c>
      <c r="P1" s="97" t="s">
        <v>162</v>
      </c>
      <c r="Q1" s="97" t="s">
        <v>483</v>
      </c>
      <c r="R1" s="97" t="s">
        <v>166</v>
      </c>
      <c r="S1" s="97" t="s">
        <v>167</v>
      </c>
      <c r="X1" s="115"/>
    </row>
    <row r="2" spans="1:24" x14ac:dyDescent="0.25">
      <c r="A2" s="75" t="s">
        <v>768</v>
      </c>
      <c r="B2" s="75" t="s">
        <v>768</v>
      </c>
      <c r="C2" s="75" t="s">
        <v>768</v>
      </c>
      <c r="D2" s="75" t="s">
        <v>768</v>
      </c>
      <c r="E2" s="75" t="s">
        <v>768</v>
      </c>
      <c r="F2" s="75" t="s">
        <v>768</v>
      </c>
      <c r="G2" s="75" t="s">
        <v>768</v>
      </c>
      <c r="H2" s="75" t="s">
        <v>768</v>
      </c>
      <c r="I2" s="75" t="s">
        <v>768</v>
      </c>
      <c r="J2" s="75" t="s">
        <v>768</v>
      </c>
      <c r="K2" s="75" t="s">
        <v>768</v>
      </c>
      <c r="L2" s="75" t="s">
        <v>768</v>
      </c>
      <c r="M2" s="75" t="s">
        <v>768</v>
      </c>
      <c r="N2" s="75" t="s">
        <v>768</v>
      </c>
      <c r="O2" s="75" t="s">
        <v>768</v>
      </c>
      <c r="P2" s="75" t="s">
        <v>768</v>
      </c>
      <c r="Q2" s="75" t="s">
        <v>768</v>
      </c>
      <c r="R2" s="75" t="s">
        <v>768</v>
      </c>
      <c r="S2" s="75" t="s">
        <v>768</v>
      </c>
      <c r="X2" s="115"/>
    </row>
    <row r="3" spans="1:24" x14ac:dyDescent="0.25">
      <c r="A3" s="75" t="str">
        <f t="array" ref="A3">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ROW(1:1))), "-"))</f>
        <v>Akhorne the Squirrel</v>
      </c>
      <c r="B3" s="75" t="str">
        <f t="array" ref="B3">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ROW(1:1))), "-"))</f>
        <v>Akhorne the Squirrel</v>
      </c>
      <c r="C3" s="75" t="str">
        <f t="array" ref="C3">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ROW(1:1))), "-"))</f>
        <v>Akhorne the Squirrel</v>
      </c>
      <c r="D3" s="75" t="str">
        <f t="array" ref="D3">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ROW(1:1))), "-"))</f>
        <v>Akhorne the Squirrel</v>
      </c>
      <c r="E3" s="75" t="str">
        <f t="array" ref="E3">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ROW(1:1))), "-"))</f>
        <v>Akhorne the Squirrel</v>
      </c>
      <c r="F3" s="75" t="str">
        <f t="array" ref="F3">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ROW(1:1))), "-"))</f>
        <v>Akhorne the Squirrel</v>
      </c>
      <c r="G3" s="75" t="str">
        <f t="array" ref="G3">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ROW(1:1))), "-"))</f>
        <v>Akhorne the Squirrel</v>
      </c>
      <c r="H3" s="75" t="str">
        <f t="array" ref="H3">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ROW(1:1))), "-"))</f>
        <v>Akhorne the Squirrel</v>
      </c>
      <c r="I3" s="75" t="str">
        <f t="array" ref="I3">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ROW(1:1))), "-"))</f>
        <v>Akhorne the Squirrel</v>
      </c>
      <c r="J3" s="75" t="str">
        <f t="array" ref="J3">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ROW(1:1))), "-"))</f>
        <v>Akhorne the Squirrel</v>
      </c>
      <c r="K3" s="75" t="str">
        <f t="array" ref="K3">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ROW(1:1))), "-"))</f>
        <v>Akhorne the Squirrel</v>
      </c>
      <c r="L3" s="75" t="str">
        <f t="array" ref="L3">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ROW(1:1))), "-"))</f>
        <v>Akhorne the Squirrel</v>
      </c>
      <c r="M3" s="75" t="str">
        <f t="array" ref="M3">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ROW(1:1))), "-"))</f>
        <v>Akhorne the Squirrel</v>
      </c>
      <c r="N3" s="75" t="str">
        <f t="array" ref="N3">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ROW(1:1))), "-"))</f>
        <v>Akhorne the Squirrel</v>
      </c>
      <c r="O3" s="75" t="str">
        <f t="array" ref="O3">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ROW(1:1))), "-"))</f>
        <v>Akhorne the Squirrel</v>
      </c>
      <c r="P3" s="75" t="str">
        <f t="array" ref="P3">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ROW(1:1))), "-"))</f>
        <v>Akhorne the Squirrel</v>
      </c>
      <c r="Q3" s="75" t="str">
        <f t="array" ref="Q3">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ROW(1:1))), "-"))</f>
        <v>Akhorne the Squirrel</v>
      </c>
      <c r="R3" s="75" t="str">
        <f t="array" ref="R3">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ROW(1:1))), "-"))</f>
        <v>Akhorne the Squirrel</v>
      </c>
      <c r="S3" s="75" t="str">
        <f t="array" ref="S3">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ROW(1:1))), "-"))</f>
        <v>Akhorne the Squirrel</v>
      </c>
      <c r="X3" s="115"/>
    </row>
    <row r="4" spans="1:24" x14ac:dyDescent="0.25">
      <c r="A4" s="75" t="str">
        <f t="array" ref="A4">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ROW(2:2))), "-"))</f>
        <v>Fungus the Loon</v>
      </c>
      <c r="B4" s="75" t="str">
        <f t="array" ref="B4">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ROW(2:2))), "-"))</f>
        <v>Fungus the Loon</v>
      </c>
      <c r="C4" s="75" t="str">
        <f t="array" ref="C4">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ROW(2:2))), "-"))</f>
        <v>Fungus the Loon</v>
      </c>
      <c r="D4" s="75" t="str">
        <f t="array" ref="D4">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ROW(2:2))), "-"))</f>
        <v>Fungus the Loon</v>
      </c>
      <c r="E4" s="75" t="str">
        <f t="array" ref="E4">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ROW(2:2))), "-"))</f>
        <v>Fungus the Loon</v>
      </c>
      <c r="F4" s="75" t="str">
        <f t="array" ref="F4">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ROW(2:2))), "-"))</f>
        <v>Fungus the Loon</v>
      </c>
      <c r="G4" s="75" t="str">
        <f t="array" ref="G4">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ROW(2:2))), "-"))</f>
        <v>Barik Farblast</v>
      </c>
      <c r="H4" s="75" t="str">
        <f t="array" ref="H4">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ROW(2:2))), "-"))</f>
        <v>Eldril Sidewinder</v>
      </c>
      <c r="I4" s="75" t="str">
        <f t="array" ref="I4">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ROW(2:2))), "-"))</f>
        <v>Glart Smashrip</v>
      </c>
      <c r="J4" s="75" t="str">
        <f t="array" ref="J4">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ROW(2:2))), "-"))</f>
        <v>Glart Smashrip</v>
      </c>
      <c r="K4" s="75" t="str">
        <f t="array" ref="K4">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ROW(2:2))), "-"))</f>
        <v>Bilerot Vomitflesh</v>
      </c>
      <c r="L4" s="75" t="str">
        <f t="array" ref="L4">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ROW(2:2))), "-"))</f>
        <v>Barik Farblast</v>
      </c>
      <c r="M4" s="75" t="str">
        <f t="array" ref="M4">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ROW(2:2))), "-"))</f>
        <v>Boa Kon’ssstriktr</v>
      </c>
      <c r="N4" s="75" t="str">
        <f t="array" ref="N4">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ROW(2:2))), "-"))</f>
        <v>Barik Farblast</v>
      </c>
      <c r="O4" s="75" t="str">
        <f t="array" ref="O4">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ROW(2:2))), "-"))</f>
        <v>Bryce 'The Slice' Cambuel</v>
      </c>
      <c r="P4" s="75" t="str">
        <f t="array" ref="P4">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ROW(2:2))), "-"))</f>
        <v>Barik Farblast</v>
      </c>
      <c r="Q4" s="75" t="str">
        <f t="array" ref="Q4">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ROW(2:2))), "-"))</f>
        <v>Barik Farblast</v>
      </c>
      <c r="R4" s="75" t="str">
        <f t="array" ref="R4">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ROW(2:2))), "-"))</f>
        <v>Bryce 'The Slice' Cambuel</v>
      </c>
      <c r="S4" s="75" t="str">
        <f t="array" ref="S4">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ROW(2:2))), "-"))</f>
        <v>Fungus the Loon</v>
      </c>
      <c r="X4" s="115"/>
    </row>
    <row r="5" spans="1:24" x14ac:dyDescent="0.25">
      <c r="A5" s="75" t="str">
        <f t="array" ref="A5">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ROW(3:3))), "-"))</f>
        <v>G&amp;C: Grak</v>
      </c>
      <c r="B5" s="75" t="str">
        <f t="array" ref="B5">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ROW(3:3))), "-"))</f>
        <v>Glart Smashrip</v>
      </c>
      <c r="C5" s="75" t="str">
        <f t="array" ref="C5">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ROW(3:3))), "-"))</f>
        <v>Glart Smashrip</v>
      </c>
      <c r="D5" s="75" t="str">
        <f t="array" ref="D5">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ROW(3:3))), "-"))</f>
        <v>Glart Smashrip</v>
      </c>
      <c r="E5" s="75" t="str">
        <f t="array" ref="E5">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ROW(3:3))), "-"))</f>
        <v>G&amp;C: Grak</v>
      </c>
      <c r="F5" s="75" t="str">
        <f t="array" ref="F5">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ROW(3:3))), "-"))</f>
        <v>Glart Smashrip</v>
      </c>
      <c r="G5" s="75" t="str">
        <f t="array" ref="G5">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ROW(3:3))), "-"))</f>
        <v>Frank 'n' Stein</v>
      </c>
      <c r="H5" s="75" t="str">
        <f t="array" ref="H5">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ROW(3:3))), "-"))</f>
        <v>G&amp;C: Grak</v>
      </c>
      <c r="I5" s="75" t="str">
        <f t="array" ref="I5">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ROW(3:3))), "-"))</f>
        <v>G&amp;C: Grak</v>
      </c>
      <c r="J5" s="75" t="str">
        <f t="array" ref="J5">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ROW(3:3))), "-"))</f>
        <v>G&amp;C: Grak</v>
      </c>
      <c r="K5" s="75" t="str">
        <f t="array" ref="K5">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ROW(3:3))), "-"))</f>
        <v>Glart Smashrip</v>
      </c>
      <c r="L5" s="75" t="str">
        <f t="array" ref="L5">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ROW(3:3))), "-"))</f>
        <v>Frank 'n' Stein</v>
      </c>
      <c r="M5" s="75" t="str">
        <f t="array" ref="M5">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ROW(3:3))), "-"))</f>
        <v>Glotl Stop</v>
      </c>
      <c r="N5" s="75" t="str">
        <f t="array" ref="N5">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ROW(3:3))), "-"))</f>
        <v>Boa Kon’ssstriktr</v>
      </c>
      <c r="O5" s="75" t="str">
        <f t="array" ref="O5">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ROW(3:3))), "-"))</f>
        <v>Captain Karina von Riesz</v>
      </c>
      <c r="P5" s="75" t="str">
        <f t="array" ref="P5">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ROW(3:3))), "-"))</f>
        <v>Frank 'n' Stein</v>
      </c>
      <c r="Q5" s="75" t="str">
        <f t="array" ref="Q5">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ROW(3:3))), "-"))</f>
        <v>Frank 'n' Stein</v>
      </c>
      <c r="R5" s="75" t="str">
        <f t="array" ref="R5">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ROW(3:3))), "-"))</f>
        <v>Captain Karina von Riesz</v>
      </c>
      <c r="S5" s="75" t="str">
        <f t="array" ref="S5">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ROW(3:3))), "-"))</f>
        <v>Glart Smashrip</v>
      </c>
      <c r="X5" s="115"/>
    </row>
    <row r="6" spans="1:24" x14ac:dyDescent="0.25">
      <c r="A6" s="75" t="str">
        <f t="array" ref="A6">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ROW(4:4))), "-"))</f>
        <v>G&amp;C: Crumbleberry</v>
      </c>
      <c r="B6" s="75" t="str">
        <f t="array" ref="B6">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ROW(4:4))), "-"))</f>
        <v>G&amp;C: Grak</v>
      </c>
      <c r="C6" s="75" t="str">
        <f t="array" ref="C6">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ROW(4:4))), "-"))</f>
        <v>G&amp;C: Grak</v>
      </c>
      <c r="D6" s="75" t="str">
        <f t="array" ref="D6">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ROW(4:4))), "-"))</f>
        <v>G&amp;C: Grak</v>
      </c>
      <c r="E6" s="75" t="str">
        <f t="array" ref="E6">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ROW(4:4))), "-"))</f>
        <v>G&amp;C: Crumbleberry</v>
      </c>
      <c r="F6" s="75" t="str">
        <f t="array" ref="F6">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ROW(4:4))), "-"))</f>
        <v>G&amp;C: Grak</v>
      </c>
      <c r="G6" s="75" t="str">
        <f t="array" ref="G6">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ROW(4:4))), "-"))</f>
        <v>Fungus the Loon</v>
      </c>
      <c r="H6" s="75" t="str">
        <f t="array" ref="H6">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ROW(4:4))), "-"))</f>
        <v>G&amp;C: Crumbleberry</v>
      </c>
      <c r="I6" s="75" t="str">
        <f t="array" ref="I6">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ROW(4:4))), "-"))</f>
        <v>G&amp;C: Crumbleberry</v>
      </c>
      <c r="J6" s="75" t="str">
        <f t="array" ref="J6">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ROW(4:4))), "-"))</f>
        <v>G&amp;C: Crumbleberry</v>
      </c>
      <c r="K6" s="75" t="str">
        <f t="array" ref="K6">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ROW(4:4))), "-"))</f>
        <v>G&amp;C: Grak</v>
      </c>
      <c r="L6" s="75" t="str">
        <f t="array" ref="L6">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ROW(4:4))), "-"))</f>
        <v>G&amp;C: Grak</v>
      </c>
      <c r="M6" s="75" t="str">
        <f t="array" ref="M6">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ROW(4:4))), "-"))</f>
        <v>G&amp;C: Grak</v>
      </c>
      <c r="N6" s="75" t="str">
        <f t="array" ref="N6">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ROW(4:4))), "-"))</f>
        <v>Frank 'n' Stein</v>
      </c>
      <c r="O6" s="75" t="str">
        <f t="array" ref="O6">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ROW(4:4))), "-"))</f>
        <v>Count Luthor von Drakenborg</v>
      </c>
      <c r="P6" s="75" t="str">
        <f t="array" ref="P6">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ROW(4:4))), "-"))</f>
        <v>G&amp;C: Grak</v>
      </c>
      <c r="Q6" s="75" t="str">
        <f t="array" ref="Q6">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ROW(4:4))), "-"))</f>
        <v>G&amp;C: Grak</v>
      </c>
      <c r="R6" s="75" t="str">
        <f t="array" ref="R6">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ROW(4:4))), "-"))</f>
        <v>Count Luthor von Drakenborg</v>
      </c>
      <c r="S6" s="75" t="str">
        <f t="array" ref="S6">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ROW(4:4))), "-"))</f>
        <v>G&amp;C: Grak</v>
      </c>
      <c r="X6" s="115"/>
    </row>
    <row r="7" spans="1:24" x14ac:dyDescent="0.25">
      <c r="A7" s="75" t="str">
        <f t="array" ref="A7">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ROW(5:5))), "-"))</f>
        <v>Helmut Wulf</v>
      </c>
      <c r="B7" s="75" t="str">
        <f t="array" ref="B7">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ROW(5:5))), "-"))</f>
        <v>G&amp;C: Crumbleberry</v>
      </c>
      <c r="C7" s="75" t="str">
        <f t="array" ref="C7">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ROW(5:5))), "-"))</f>
        <v>G&amp;C: Crumbleberry</v>
      </c>
      <c r="D7" s="75" t="str">
        <f t="array" ref="D7">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ROW(5:5))), "-"))</f>
        <v>G&amp;C: Crumbleberry</v>
      </c>
      <c r="E7" s="75" t="str">
        <f t="array" ref="E7">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ROW(5:5))), "-"))</f>
        <v>Helmut Wulf</v>
      </c>
      <c r="F7" s="75" t="str">
        <f t="array" ref="F7">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ROW(5:5))), "-"))</f>
        <v>G&amp;C: Crumbleberry</v>
      </c>
      <c r="G7" s="75" t="str">
        <f t="array" ref="G7">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ROW(5:5))), "-"))</f>
        <v>G&amp;C: Grak</v>
      </c>
      <c r="H7" s="75" t="str">
        <f t="array" ref="H7">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ROW(5:5))), "-"))</f>
        <v>Helmut Wulf</v>
      </c>
      <c r="I7" s="75" t="str">
        <f t="array" ref="I7">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ROW(5:5))), "-"))</f>
        <v>Grashnak Blackhoof</v>
      </c>
      <c r="J7" s="75" t="str">
        <f t="array" ref="J7">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ROW(5:5))), "-"))</f>
        <v>Grashnak Blackhoof</v>
      </c>
      <c r="K7" s="75" t="str">
        <f t="array" ref="K7">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ROW(5:5))), "-"))</f>
        <v>G&amp;C: Crumbleberry</v>
      </c>
      <c r="L7" s="75" t="str">
        <f t="array" ref="L7">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ROW(5:5))), "-"))</f>
        <v>G&amp;C: Crumbleberry</v>
      </c>
      <c r="M7" s="75" t="str">
        <f t="array" ref="M7">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ROW(5:5))), "-"))</f>
        <v>G&amp;C: Crumbleberry</v>
      </c>
      <c r="N7" s="75" t="str">
        <f t="array" ref="N7">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ROW(5:5))), "-"))</f>
        <v>Glotl Stop</v>
      </c>
      <c r="O7" s="75" t="str">
        <f t="array" ref="O7">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ROW(5:5))), "-"))</f>
        <v>Frank 'n' Stein</v>
      </c>
      <c r="P7" s="75" t="str">
        <f t="array" ref="P7">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ROW(5:5))), "-"))</f>
        <v>G&amp;C: Crumbleberry</v>
      </c>
      <c r="Q7" s="75" t="str">
        <f t="array" ref="Q7">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ROW(5:5))), "-"))</f>
        <v>G&amp;C: Crumbleberry</v>
      </c>
      <c r="R7" s="75" t="str">
        <f t="array" ref="R7">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ROW(5:5))), "-"))</f>
        <v>Frank 'n' Stein</v>
      </c>
      <c r="S7" s="75" t="str">
        <f t="array" ref="S7">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ROW(5:5))), "-"))</f>
        <v>G&amp;C: Crumbleberry</v>
      </c>
      <c r="X7" s="115"/>
    </row>
    <row r="8" spans="1:24" x14ac:dyDescent="0.25">
      <c r="A8" s="75" t="str">
        <f t="array" ref="A8">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ROW(6:6))), "-"))</f>
        <v>Nobbla Blackwart</v>
      </c>
      <c r="B8" s="75" t="str">
        <f t="array" ref="B8">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ROW(6:6))), "-"))</f>
        <v>Helmut Wulf</v>
      </c>
      <c r="C8" s="75" t="str">
        <f t="array" ref="C8">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ROW(6:6))), "-"))</f>
        <v>Helmut Wulf</v>
      </c>
      <c r="D8" s="75" t="str">
        <f t="array" ref="D8">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ROW(6:6))), "-"))</f>
        <v>Helmut Wulf</v>
      </c>
      <c r="E8" s="75" t="str">
        <f t="array" ref="E8">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ROW(6:6))), "-"))</f>
        <v>Nobbla Blackwart</v>
      </c>
      <c r="F8" s="75" t="str">
        <f t="array" ref="F8">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ROW(6:6))), "-"))</f>
        <v>Grashnak Blackhoof</v>
      </c>
      <c r="G8" s="75" t="str">
        <f t="array" ref="G8">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ROW(6:6))), "-"))</f>
        <v>G&amp;C: Crumbleberry</v>
      </c>
      <c r="H8" s="75" t="str">
        <f t="array" ref="H8">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ROW(6:6))), "-"))</f>
        <v>Kiroth Krakeneye</v>
      </c>
      <c r="I8" s="75" t="str">
        <f t="array" ref="I8">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ROW(6:6))), "-"))</f>
        <v>Helmut Wulf</v>
      </c>
      <c r="J8" s="75" t="str">
        <f t="array" ref="J8">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ROW(6:6))), "-"))</f>
        <v>Helmut Wulf</v>
      </c>
      <c r="K8" s="75" t="str">
        <f t="array" ref="K8">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ROW(6:6))), "-"))</f>
        <v>Grashnak Blackhoof</v>
      </c>
      <c r="L8" s="75" t="str">
        <f t="array" ref="L8">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ROW(6:6))), "-"))</f>
        <v>Grim Ironjaw</v>
      </c>
      <c r="M8" s="75" t="str">
        <f t="array" ref="M8">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ROW(6:6))), "-"))</f>
        <v>Grombrindal, the White Dwarf</v>
      </c>
      <c r="N8" s="75" t="str">
        <f t="array" ref="N8">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ROW(6:6))), "-"))</f>
        <v>G&amp;C: Grak</v>
      </c>
      <c r="O8" s="75" t="str">
        <f t="array" ref="O8">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ROW(6:6))), "-"))</f>
        <v>G&amp;C: Grak</v>
      </c>
      <c r="P8" s="75" t="str">
        <f t="array" ref="P8">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ROW(6:6))), "-"))</f>
        <v>Grim Ironjaw</v>
      </c>
      <c r="Q8" s="75" t="str">
        <f t="array" ref="Q8">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ROW(6:6))), "-"))</f>
        <v>Grim Ironjaw</v>
      </c>
      <c r="R8" s="75" t="str">
        <f t="array" ref="R8">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ROW(6:6))), "-"))</f>
        <v>G&amp;C: Grak</v>
      </c>
      <c r="S8" s="75" t="str">
        <f t="array" ref="S8">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ROW(6:6))), "-"))</f>
        <v>Helmut Wulf</v>
      </c>
      <c r="X8" s="115"/>
    </row>
    <row r="9" spans="1:24" x14ac:dyDescent="0.25">
      <c r="A9" s="75" t="str">
        <f t="array" ref="A9">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ROW(7:7))), "-"))</f>
        <v>Ripper Bolgrot</v>
      </c>
      <c r="B9" s="75" t="str">
        <f t="array" ref="B9">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ROW(7:7))), "-"))</f>
        <v>Nobbla Blackwart</v>
      </c>
      <c r="C9" s="75" t="str">
        <f t="array" ref="C9">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ROW(7:7))), "-"))</f>
        <v>Nobbla Blackwart</v>
      </c>
      <c r="D9" s="75" t="str">
        <f t="array" ref="D9">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ROW(7:7))), "-"))</f>
        <v>Nobbla Blackwart</v>
      </c>
      <c r="E9" s="75" t="str">
        <f t="array" ref="E9">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ROW(7:7))), "-"))</f>
        <v>Ripper Bolgrot</v>
      </c>
      <c r="F9" s="75" t="str">
        <f t="array" ref="F9">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ROW(7:7))), "-"))</f>
        <v>Grim Ironjaw</v>
      </c>
      <c r="G9" s="75" t="str">
        <f t="array" ref="G9">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ROW(7:7))), "-"))</f>
        <v>Grim Ironjaw</v>
      </c>
      <c r="H9" s="75" t="str">
        <f t="array" ref="H9">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ROW(7:7))), "-"))</f>
        <v>Roxanna Darknail</v>
      </c>
      <c r="I9" s="75" t="str">
        <f t="array" ref="I9">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ROW(7:7))), "-"))</f>
        <v>Lord Borak the Despoiler</v>
      </c>
      <c r="J9" s="75" t="str">
        <f t="array" ref="J9">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ROW(7:7))), "-"))</f>
        <v>Lord Borak the Despoiler</v>
      </c>
      <c r="K9" s="75" t="str">
        <f t="array" ref="K9">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ROW(7:7))), "-"))</f>
        <v>Helmut Wulf</v>
      </c>
      <c r="L9" s="75" t="str">
        <f t="array" ref="L9">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ROW(7:7))), "-"))</f>
        <v>Grombrindal, the White Dwarf</v>
      </c>
      <c r="M9" s="75" t="str">
        <f t="array" ref="M9">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ROW(7:7))), "-"))</f>
        <v>Helmut Wulf</v>
      </c>
      <c r="N9" s="75" t="str">
        <f t="array" ref="N9">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ROW(7:7))), "-"))</f>
        <v>G&amp;C: Crumbleberry</v>
      </c>
      <c r="O9" s="75" t="str">
        <f t="array" ref="O9">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ROW(7:7))), "-"))</f>
        <v>G&amp;C: Crumbleberry</v>
      </c>
      <c r="P9" s="75" t="str">
        <f t="array" ref="P9">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ROW(7:7))), "-"))</f>
        <v>Grombrindal, the White Dwarf</v>
      </c>
      <c r="Q9" s="75" t="str">
        <f t="array" ref="Q9">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ROW(7:7))), "-"))</f>
        <v>Grombrindal, the White Dwarf</v>
      </c>
      <c r="R9" s="75" t="str">
        <f t="array" ref="R9">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ROW(7:7))), "-"))</f>
        <v>G&amp;C: Crumbleberry</v>
      </c>
      <c r="S9" s="75" t="str">
        <f t="array" ref="S9">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ROW(7:7))), "-"))</f>
        <v>Nobbla Blackwart</v>
      </c>
      <c r="X9" s="115"/>
    </row>
    <row r="10" spans="1:24" x14ac:dyDescent="0.25">
      <c r="A10" s="75" t="str">
        <f t="array" ref="A10">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ROW(8:8))), "-"))</f>
        <v>Scrappa Sorehead</v>
      </c>
      <c r="B10" s="75" t="str">
        <f t="array" ref="B10">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ROW(8:8))), "-"))</f>
        <v>Ripper Bolgrot</v>
      </c>
      <c r="C10" s="75" t="str">
        <f t="array" ref="C10">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ROW(8:8))), "-"))</f>
        <v>Ripper Bolgrot</v>
      </c>
      <c r="D10" s="75" t="str">
        <f t="array" ref="D10">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ROW(8:8))), "-"))</f>
        <v>Ripper Bolgrot</v>
      </c>
      <c r="E10" s="75" t="str">
        <f t="array" ref="E10">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ROW(8:8))), "-"))</f>
        <v>Scrappa Sorehead</v>
      </c>
      <c r="F10" s="75" t="str">
        <f t="array" ref="F10">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ROW(8:8))), "-"))</f>
        <v>Grombrindal, the White Dwarf</v>
      </c>
      <c r="G10" s="75" t="str">
        <f t="array" ref="G10">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ROW(8:8))), "-"))</f>
        <v>Grombrindal, the White Dwarf</v>
      </c>
      <c r="H10" s="75" t="str">
        <f t="array" ref="H10">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ROW(8:8))), "-"))</f>
        <v>Swift Twins: Lucien Swift</v>
      </c>
      <c r="I10" s="75" t="str">
        <f t="array" ref="I10">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ROW(8:8))), "-"))</f>
        <v>Withergrasp Doubledrool</v>
      </c>
      <c r="J10" s="75" t="str">
        <f t="array" ref="J10">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ROW(8:8))), "-"))</f>
        <v>Max Spleenripper</v>
      </c>
      <c r="K10" s="75" t="str">
        <f t="array" ref="K10">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ROW(8:8))), "-"))</f>
        <v>Lord Borak the Despoiler</v>
      </c>
      <c r="L10" s="75" t="str">
        <f t="array" ref="L10">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ROW(8:8))), "-"))</f>
        <v>Helmut Wulf</v>
      </c>
      <c r="M10" s="75" t="str">
        <f t="array" ref="M10">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ROW(8:8))), "-"))</f>
        <v>Karla von Kill</v>
      </c>
      <c r="N10" s="75" t="str">
        <f t="array" ref="N10">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ROW(8:8))), "-"))</f>
        <v>Grim Ironjaw</v>
      </c>
      <c r="O10" s="75" t="str">
        <f t="array" ref="O10">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ROW(8:8))), "-"))</f>
        <v>Gretchen Wächter</v>
      </c>
      <c r="P10" s="75" t="str">
        <f t="array" ref="P10">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ROW(8:8))), "-"))</f>
        <v>Helmut Wulf</v>
      </c>
      <c r="Q10" s="75" t="str">
        <f t="array" ref="Q10">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ROW(8:8))), "-"))</f>
        <v>Helmut Wulf</v>
      </c>
      <c r="R10" s="75" t="str">
        <f t="array" ref="R10">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ROW(8:8))), "-"))</f>
        <v>Gretchen Wächter</v>
      </c>
      <c r="S10" s="75" t="str">
        <f t="array" ref="S10">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ROW(8:8))), "-"))</f>
        <v>Ripper Bolgrot</v>
      </c>
      <c r="X10" s="115"/>
    </row>
    <row r="11" spans="1:24" x14ac:dyDescent="0.25">
      <c r="A11" s="75" t="str">
        <f t="array" ref="A11">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ROW(9:9))), "-"))</f>
        <v>The Black Gobbo</v>
      </c>
      <c r="B11" s="75" t="str">
        <f t="array" ref="B11">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ROW(9:9))), "-"))</f>
        <v>Scrappa Sorehead</v>
      </c>
      <c r="C11" s="75" t="str">
        <f t="array" ref="C11">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ROW(9:9))), "-"))</f>
        <v>Scrappa Sorehead</v>
      </c>
      <c r="D11" s="75" t="str">
        <f t="array" ref="D11">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ROW(9:9))), "-"))</f>
        <v>Scrappa Sorehead</v>
      </c>
      <c r="E11" s="75" t="str">
        <f t="array" ref="E11">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ROW(9:9))), "-"))</f>
        <v>The Black Gobbo</v>
      </c>
      <c r="F11" s="75" t="str">
        <f t="array" ref="F11">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ROW(9:9))), "-"))</f>
        <v>Helmut Wulf</v>
      </c>
      <c r="G11" s="75" t="str">
        <f t="array" ref="G11">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ROW(9:9))), "-"))</f>
        <v>Helmut Wulf</v>
      </c>
      <c r="H11" s="75" t="str">
        <f t="array" ref="H11">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ROW(9:9))), "-"))</f>
        <v>Swift Twins: Valen Swift</v>
      </c>
      <c r="I11" s="75" t="str">
        <f t="array" ref="I11">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ROW(9:9))), "-"))</f>
        <v>-</v>
      </c>
      <c r="J11" s="75" t="str">
        <f t="array" ref="J11">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ROW(9:9))), "-"))</f>
        <v>Scyla Anfingrimm</v>
      </c>
      <c r="K11" s="75" t="str">
        <f t="array" ref="K11">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ROW(9:9))), "-"))</f>
        <v>Withergrasp Doubledrool</v>
      </c>
      <c r="L11" s="75" t="str">
        <f t="array" ref="L11">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ROW(9:9))), "-"))</f>
        <v>Ivar Eriksson</v>
      </c>
      <c r="M11" s="75" t="str">
        <f t="array" ref="M11">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ROW(9:9))), "-"))</f>
        <v>Mighty Zug</v>
      </c>
      <c r="N11" s="75" t="str">
        <f t="array" ref="N11">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ROW(9:9))), "-"))</f>
        <v>Grombrindal, the White Dwarf</v>
      </c>
      <c r="O11" s="75" t="str">
        <f t="array" ref="O11">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ROW(9:9))), "-"))</f>
        <v>Helmut Wulf</v>
      </c>
      <c r="P11" s="75" t="str">
        <f t="array" ref="P11">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ROW(9:9))), "-"))</f>
        <v>Ivar Eriksson</v>
      </c>
      <c r="Q11" s="75" t="str">
        <f t="array" ref="Q11">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ROW(9:9))), "-"))</f>
        <v>Ivar Eriksson</v>
      </c>
      <c r="R11" s="75" t="str">
        <f t="array" ref="R11">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ROW(9:9))), "-"))</f>
        <v>Helmut Wulf</v>
      </c>
      <c r="S11" s="75" t="str">
        <f t="array" ref="S11">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ROW(9:9))), "-"))</f>
        <v>Scrappa Sorehead</v>
      </c>
      <c r="X11" s="115"/>
    </row>
    <row r="12" spans="1:24" x14ac:dyDescent="0.25">
      <c r="A12" s="75" t="str">
        <f t="array" ref="A12">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ROW(10:10))), "-"))</f>
        <v>-</v>
      </c>
      <c r="B12" s="75" t="str">
        <f t="array" ref="B12">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ROW(10:10))), "-"))</f>
        <v>The Black Gobbo</v>
      </c>
      <c r="C12" s="75" t="str">
        <f t="array" ref="C12">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ROW(10:10))), "-"))</f>
        <v>The Black Gobbo</v>
      </c>
      <c r="D12" s="75" t="str">
        <f t="array" ref="D12">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ROW(10:10))), "-"))</f>
        <v>The Black Gobbo</v>
      </c>
      <c r="E12" s="75" t="str">
        <f t="array" ref="E12">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ROW(10:10))), "-"))</f>
        <v>-</v>
      </c>
      <c r="F12" s="75" t="str">
        <f t="array" ref="F12">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ROW(10:10))), "-"))</f>
        <v>Lord Borak the Despoiler</v>
      </c>
      <c r="G12" s="75" t="str">
        <f t="array" ref="G12">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ROW(10:10))), "-"))</f>
        <v>Ivar Eriksson</v>
      </c>
      <c r="H12" s="75" t="str">
        <f t="array" ref="H12">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ROW(10:10))), "-"))</f>
        <v>Willow Rosebark</v>
      </c>
      <c r="I12" s="75" t="str">
        <f t="array" ref="I12">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ROW(10:10))), "-"))</f>
        <v>-</v>
      </c>
      <c r="J12" s="75" t="str">
        <f t="array" ref="J12">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ROW(10:10))), "-"))</f>
        <v>Withergrasp Doubledrool</v>
      </c>
      <c r="K12" s="75" t="str">
        <f t="array" ref="K12">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ROW(10:10))), "-"))</f>
        <v>-</v>
      </c>
      <c r="L12" s="75" t="str">
        <f t="array" ref="L12">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ROW(10:10))), "-"))</f>
        <v>Karla von Kill</v>
      </c>
      <c r="M12" s="75" t="str">
        <f t="array" ref="M12">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ROW(10:10))), "-"))</f>
        <v>Zolcath the Zoat</v>
      </c>
      <c r="N12" s="75" t="str">
        <f t="array" ref="N12">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ROW(10:10))), "-"))</f>
        <v>Helmut Wulf</v>
      </c>
      <c r="O12" s="75" t="str">
        <f t="array" ref="O12">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ROW(10:10))), "-"))</f>
        <v>Ivan 'the Animal' Deathshroud</v>
      </c>
      <c r="P12" s="75" t="str">
        <f t="array" ref="P12">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ROW(10:10))), "-"))</f>
        <v>Karla von Kill</v>
      </c>
      <c r="Q12" s="75" t="str">
        <f t="array" ref="Q12">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ROW(10:10))), "-"))</f>
        <v>Karla von Kill</v>
      </c>
      <c r="R12" s="75" t="str">
        <f t="array" ref="R12">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ROW(10:10))), "-"))</f>
        <v>Ivan 'the Animal' Deathshroud</v>
      </c>
      <c r="S12" s="75" t="str">
        <f t="array" ref="S12">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ROW(10:10))), "-"))</f>
        <v>The Black Gobbo</v>
      </c>
      <c r="X12" s="115"/>
    </row>
    <row r="13" spans="1:24" x14ac:dyDescent="0.25">
      <c r="A13" s="75" t="str">
        <f t="array" ref="A13">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ROW(11:11))), "-"))</f>
        <v>-</v>
      </c>
      <c r="B13" s="75" t="str">
        <f t="array" ref="B13">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ROW(11:11))), "-"))</f>
        <v>-</v>
      </c>
      <c r="C13" s="75" t="str">
        <f t="array" ref="C13">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ROW(11:11))), "-"))</f>
        <v>-</v>
      </c>
      <c r="D13" s="75" t="str">
        <f t="array" ref="D13">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ROW(11:11))), "-"))</f>
        <v>-</v>
      </c>
      <c r="E13" s="75" t="str">
        <f t="array" ref="E13">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ROW(11:11))), "-"))</f>
        <v>-</v>
      </c>
      <c r="F13" s="75" t="str">
        <f t="array" ref="F13">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ROW(11:11))), "-"))</f>
        <v>Nobbla Blackwart</v>
      </c>
      <c r="G13" s="75" t="str">
        <f t="array" ref="G13">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ROW(11:11))), "-"))</f>
        <v>Karla von Kill</v>
      </c>
      <c r="H13" s="75" t="str">
        <f t="array" ref="H13">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ROW(11:11))), "-"))</f>
        <v>Zolcath the Zoat</v>
      </c>
      <c r="I13" s="75" t="str">
        <f t="array" ref="I13">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ROW(11:11))), "-"))</f>
        <v>-</v>
      </c>
      <c r="J13" s="75" t="str">
        <f t="array" ref="J13">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ROW(11:11))), "-"))</f>
        <v>-</v>
      </c>
      <c r="K13" s="75" t="str">
        <f t="array" ref="K13">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ROW(11:11))), "-"))</f>
        <v>-</v>
      </c>
      <c r="L13" s="75" t="str">
        <f t="array" ref="L13">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ROW(11:11))), "-"))</f>
        <v>Mighty Zug</v>
      </c>
      <c r="M13" s="75" t="str">
        <f t="array" ref="M13">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ROW(11:11))), "-"))</f>
        <v>-</v>
      </c>
      <c r="N13" s="75" t="str">
        <f t="array" ref="N13">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ROW(11:11))), "-"))</f>
        <v>Ivar Eriksson</v>
      </c>
      <c r="O13" s="75" t="str">
        <f t="array" ref="O13">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ROW(11:11))), "-"))</f>
        <v>Skrull Halfheight</v>
      </c>
      <c r="P13" s="75" t="str">
        <f t="array" ref="P13">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ROW(11:11))), "-"))</f>
        <v>Mighty Zug</v>
      </c>
      <c r="Q13" s="75" t="str">
        <f t="array" ref="Q13">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ROW(11:11))), "-"))</f>
        <v>Mighty Zug</v>
      </c>
      <c r="R13" s="75" t="str">
        <f t="array" ref="R13">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ROW(11:11))), "-"))</f>
        <v>Skrull Halfheight</v>
      </c>
      <c r="S13" s="75" t="str">
        <f t="array" ref="S13">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ROW(11:11))), "-"))</f>
        <v>-</v>
      </c>
      <c r="X13" s="115"/>
    </row>
    <row r="14" spans="1:24" x14ac:dyDescent="0.25">
      <c r="A14" s="75" t="str">
        <f t="array" ref="A14">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ROW(12:12))), "-"))</f>
        <v>-</v>
      </c>
      <c r="B14" s="75" t="str">
        <f t="array" ref="B14">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ROW(12:12))), "-"))</f>
        <v>-</v>
      </c>
      <c r="C14" s="75" t="str">
        <f t="array" ref="C14">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ROW(12:12))), "-"))</f>
        <v>-</v>
      </c>
      <c r="D14" s="75" t="str">
        <f t="array" ref="D14">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ROW(12:12))), "-"))</f>
        <v>-</v>
      </c>
      <c r="E14" s="75" t="str">
        <f t="array" ref="E14">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ROW(12:12))), "-"))</f>
        <v>-</v>
      </c>
      <c r="F14" s="75" t="str">
        <f t="array" ref="F14">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ROW(12:12))), "-"))</f>
        <v>Ripper Bolgrot</v>
      </c>
      <c r="G14" s="75" t="str">
        <f t="array" ref="G14">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ROW(12:12))), "-"))</f>
        <v>Mighty Zug</v>
      </c>
      <c r="H14" s="75" t="str">
        <f t="array" ref="H14">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ROW(12:12))), "-"))</f>
        <v>-</v>
      </c>
      <c r="I14" s="75" t="str">
        <f t="array" ref="I14">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ROW(12:12))), "-"))</f>
        <v>-</v>
      </c>
      <c r="J14" s="75" t="str">
        <f t="array" ref="J14">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ROW(12:12))), "-"))</f>
        <v>-</v>
      </c>
      <c r="K14" s="75" t="str">
        <f t="array" ref="K14">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ROW(12:12))), "-"))</f>
        <v>-</v>
      </c>
      <c r="L14" s="75" t="str">
        <f t="array" ref="L14">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ROW(12:12))), "-"))</f>
        <v>Puggy Baconbreath</v>
      </c>
      <c r="M14" s="75" t="str">
        <f t="array" ref="M14">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ROW(12:12))), "-"))</f>
        <v>-</v>
      </c>
      <c r="N14" s="75" t="str">
        <f t="array" ref="N14">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ROW(12:12))), "-"))</f>
        <v>Karla von Kill</v>
      </c>
      <c r="O14" s="75" t="str">
        <f t="array" ref="O14">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ROW(12:12))), "-"))</f>
        <v>Wilhelm Chaney</v>
      </c>
      <c r="P14" s="75" t="str">
        <f t="array" ref="P14">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ROW(12:12))), "-"))</f>
        <v>Puggy Baconbreath</v>
      </c>
      <c r="Q14" s="75" t="str">
        <f t="array" ref="Q14">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ROW(12:12))), "-"))</f>
        <v>Puggy Baconbreath</v>
      </c>
      <c r="R14" s="75" t="str">
        <f t="array" ref="R14">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ROW(12:12))), "-"))</f>
        <v>Wilhelm Chaney</v>
      </c>
      <c r="S14" s="75" t="str">
        <f t="array" ref="S14">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ROW(12:12))), "-"))</f>
        <v>-</v>
      </c>
      <c r="X14" s="115"/>
    </row>
    <row r="15" spans="1:24" x14ac:dyDescent="0.25">
      <c r="A15" s="75" t="str">
        <f t="array" ref="A15">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ROW(13:13))), "-"))</f>
        <v>-</v>
      </c>
      <c r="B15" s="75" t="str">
        <f t="array" ref="B15">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ROW(13:13))), "-"))</f>
        <v>-</v>
      </c>
      <c r="C15" s="75" t="str">
        <f t="array" ref="C15">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ROW(13:13))), "-"))</f>
        <v>-</v>
      </c>
      <c r="D15" s="75" t="str">
        <f t="array" ref="D15">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ROW(13:13))), "-"))</f>
        <v>-</v>
      </c>
      <c r="E15" s="75" t="str">
        <f t="array" ref="E15">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ROW(13:13))), "-"))</f>
        <v>-</v>
      </c>
      <c r="F15" s="75" t="str">
        <f t="array" ref="F15">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ROW(13:13))), "-"))</f>
        <v>Rumbelow Sheepskin</v>
      </c>
      <c r="G15" s="75" t="str">
        <f t="array" ref="G15">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ROW(13:13))), "-"))</f>
        <v>Nobbla Blackwart</v>
      </c>
      <c r="H15" s="75" t="str">
        <f t="array" ref="H15">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ROW(13:13))), "-"))</f>
        <v>-</v>
      </c>
      <c r="I15" s="75" t="str">
        <f t="array" ref="I15">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ROW(13:13))), "-"))</f>
        <v>-</v>
      </c>
      <c r="J15" s="75" t="str">
        <f t="array" ref="J15">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ROW(13:13))), "-"))</f>
        <v>-</v>
      </c>
      <c r="K15" s="75" t="str">
        <f t="array" ref="K15">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ROW(13:13))), "-"))</f>
        <v>-</v>
      </c>
      <c r="L15" s="75" t="str">
        <f t="array" ref="L15">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ROW(13:13))), "-"))</f>
        <v>Rumbelow Sheepskin</v>
      </c>
      <c r="M15" s="75" t="str">
        <f t="array" ref="M15">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ROW(13:13))), "-"))</f>
        <v>-</v>
      </c>
      <c r="N15" s="75" t="str">
        <f t="array" ref="N15">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ROW(13:13))), "-"))</f>
        <v>Mighty Zug</v>
      </c>
      <c r="O15" s="75" t="str">
        <f t="array" ref="O15">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ROW(13:13))), "-"))</f>
        <v>-</v>
      </c>
      <c r="P15" s="75" t="str">
        <f t="array" ref="P15">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ROW(13:13))), "-"))</f>
        <v>Rumbelow Sheepskin</v>
      </c>
      <c r="Q15" s="75" t="str">
        <f t="array" ref="Q15">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ROW(13:13))), "-"))</f>
        <v>Rumbelow Sheepskin</v>
      </c>
      <c r="R15" s="75" t="str">
        <f t="array" ref="R15">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ROW(13:13))), "-"))</f>
        <v>-</v>
      </c>
      <c r="S15" s="75" t="str">
        <f t="array" ref="S15">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ROW(13:13))), "-"))</f>
        <v>-</v>
      </c>
      <c r="X15" s="115"/>
    </row>
    <row r="16" spans="1:24" x14ac:dyDescent="0.25">
      <c r="A16" s="75" t="str">
        <f t="array" ref="A16">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ROW(14:14))), "-"))</f>
        <v>-</v>
      </c>
      <c r="B16" s="75" t="str">
        <f t="array" ref="B16">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ROW(14:14))), "-"))</f>
        <v>-</v>
      </c>
      <c r="C16" s="75" t="str">
        <f t="array" ref="C16">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ROW(14:14))), "-"))</f>
        <v>-</v>
      </c>
      <c r="D16" s="75" t="str">
        <f t="array" ref="D16">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ROW(14:14))), "-"))</f>
        <v>-</v>
      </c>
      <c r="E16" s="75" t="str">
        <f t="array" ref="E16">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ROW(14:14))), "-"))</f>
        <v>-</v>
      </c>
      <c r="F16" s="75" t="str">
        <f t="array" ref="F16">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ROW(14:14))), "-"))</f>
        <v>Scrappa Sorehead</v>
      </c>
      <c r="G16" s="75" t="str">
        <f t="array" ref="G16">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ROW(14:14))), "-"))</f>
        <v>Puggy Baconbreath</v>
      </c>
      <c r="H16" s="75" t="str">
        <f t="array" ref="H16">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ROW(14:14))), "-"))</f>
        <v>-</v>
      </c>
      <c r="I16" s="75" t="str">
        <f t="array" ref="I16">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ROW(14:14))), "-"))</f>
        <v>-</v>
      </c>
      <c r="J16" s="75" t="str">
        <f t="array" ref="J16">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ROW(14:14))), "-"))</f>
        <v>-</v>
      </c>
      <c r="K16" s="75" t="str">
        <f t="array" ref="K16">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ROW(14:14))), "-"))</f>
        <v>-</v>
      </c>
      <c r="L16" s="75" t="str">
        <f t="array" ref="L16">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ROW(14:14))), "-"))</f>
        <v>Skrorg Snowpelt</v>
      </c>
      <c r="M16" s="75" t="str">
        <f t="array" ref="M16">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ROW(14:14))), "-"))</f>
        <v>-</v>
      </c>
      <c r="N16" s="75" t="str">
        <f t="array" ref="N16">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ROW(14:14))), "-"))</f>
        <v>Puggy Baconbreath</v>
      </c>
      <c r="O16" s="75" t="str">
        <f t="array" ref="O16">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ROW(14:14))), "-"))</f>
        <v>-</v>
      </c>
      <c r="P16" s="75" t="str">
        <f t="array" ref="P16">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ROW(14:14))), "-"))</f>
        <v>Skrorg Snowpelt</v>
      </c>
      <c r="Q16" s="75" t="str">
        <f t="array" ref="Q16">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ROW(14:14))), "-"))</f>
        <v>Skrorg Snowpelt</v>
      </c>
      <c r="R16" s="75" t="str">
        <f t="array" ref="R16">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ROW(14:14))), "-"))</f>
        <v>-</v>
      </c>
      <c r="S16" s="75" t="str">
        <f t="array" ref="S16">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ROW(14:14))), "-"))</f>
        <v>-</v>
      </c>
      <c r="X16" s="115"/>
    </row>
    <row r="17" spans="1:24" x14ac:dyDescent="0.25">
      <c r="A17" s="75" t="str">
        <f t="array" ref="A17">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ROW(15:15))), "-"))</f>
        <v>-</v>
      </c>
      <c r="B17" s="75" t="str">
        <f t="array" ref="B17">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ROW(15:15))), "-"))</f>
        <v>-</v>
      </c>
      <c r="C17" s="75" t="str">
        <f t="array" ref="C17">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ROW(15:15))), "-"))</f>
        <v>-</v>
      </c>
      <c r="D17" s="75" t="str">
        <f t="array" ref="D17">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ROW(15:15))), "-"))</f>
        <v>-</v>
      </c>
      <c r="E17" s="75" t="str">
        <f t="array" ref="E17">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ROW(15:15))), "-"))</f>
        <v>-</v>
      </c>
      <c r="F17" s="75" t="str">
        <f t="array" ref="F17">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ROW(15:15))), "-"))</f>
        <v>Skrull Halfheight</v>
      </c>
      <c r="G17" s="75" t="str">
        <f t="array" ref="G17">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ROW(15:15))), "-"))</f>
        <v>Ripper Bolgrot</v>
      </c>
      <c r="H17" s="75" t="str">
        <f t="array" ref="H17">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ROW(15:15))), "-"))</f>
        <v>-</v>
      </c>
      <c r="I17" s="75" t="str">
        <f t="array" ref="I17">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ROW(15:15))), "-"))</f>
        <v>-</v>
      </c>
      <c r="J17" s="75" t="str">
        <f t="array" ref="J17">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ROW(15:15))), "-"))</f>
        <v>-</v>
      </c>
      <c r="K17" s="75" t="str">
        <f t="array" ref="K17">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ROW(15:15))), "-"))</f>
        <v>-</v>
      </c>
      <c r="L17" s="75" t="str">
        <f t="array" ref="L17">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ROW(15:15))), "-"))</f>
        <v>Thorsson Stoutmead</v>
      </c>
      <c r="M17" s="75" t="str">
        <f t="array" ref="M17">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ROW(15:15))), "-"))</f>
        <v>-</v>
      </c>
      <c r="N17" s="75" t="str">
        <f t="array" ref="N17">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ROW(15:15))), "-"))</f>
        <v>Rumbelow Sheepskin</v>
      </c>
      <c r="O17" s="75" t="str">
        <f t="array" ref="O17">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ROW(15:15))), "-"))</f>
        <v>-</v>
      </c>
      <c r="P17" s="75" t="str">
        <f t="array" ref="P17">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ROW(15:15))), "-"))</f>
        <v>Thorsson Stoutmead</v>
      </c>
      <c r="Q17" s="75" t="str">
        <f t="array" ref="Q17">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ROW(15:15))), "-"))</f>
        <v>Skrull Halfheight</v>
      </c>
      <c r="R17" s="75" t="str">
        <f t="array" ref="R17">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ROW(15:15))), "-"))</f>
        <v>-</v>
      </c>
      <c r="S17" s="75" t="str">
        <f t="array" ref="S17">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ROW(15:15))), "-"))</f>
        <v>-</v>
      </c>
      <c r="X17" s="115"/>
    </row>
    <row r="18" spans="1:24" x14ac:dyDescent="0.25">
      <c r="A18" s="75" t="str">
        <f t="array" ref="A18">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ROW(16:16))), "-"))</f>
        <v>-</v>
      </c>
      <c r="B18" s="75" t="str">
        <f t="array" ref="B18">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ROW(16:16))), "-"))</f>
        <v>-</v>
      </c>
      <c r="C18" s="75" t="str">
        <f t="array" ref="C18">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ROW(16:16))), "-"))</f>
        <v>-</v>
      </c>
      <c r="D18" s="75" t="str">
        <f t="array" ref="D18">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ROW(16:16))), "-"))</f>
        <v>-</v>
      </c>
      <c r="E18" s="75" t="str">
        <f t="array" ref="E18">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ROW(16:16))), "-"))</f>
        <v>-</v>
      </c>
      <c r="F18" s="75" t="str">
        <f t="array" ref="F18">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ROW(16:16))), "-"))</f>
        <v>The Black Gobbo</v>
      </c>
      <c r="G18" s="75" t="str">
        <f t="array" ref="G18">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ROW(16:16))), "-"))</f>
        <v>Rumbelow Sheepskin</v>
      </c>
      <c r="H18" s="75" t="str">
        <f t="array" ref="H18">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ROW(16:16))), "-"))</f>
        <v>-</v>
      </c>
      <c r="I18" s="75" t="str">
        <f t="array" ref="I18">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ROW(16:16))), "-"))</f>
        <v>-</v>
      </c>
      <c r="J18" s="75" t="str">
        <f t="array" ref="J18">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ROW(16:16))), "-"))</f>
        <v>-</v>
      </c>
      <c r="K18" s="75" t="str">
        <f t="array" ref="K18">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ROW(16:16))), "-"))</f>
        <v>-</v>
      </c>
      <c r="L18" s="75" t="str">
        <f t="array" ref="L18">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ROW(16:16))), "-"))</f>
        <v>-</v>
      </c>
      <c r="M18" s="75" t="str">
        <f t="array" ref="M18">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ROW(16:16))), "-"))</f>
        <v>-</v>
      </c>
      <c r="N18" s="75" t="str">
        <f t="array" ref="N18">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ROW(16:16))), "-"))</f>
        <v>Skrorg Snowpelt</v>
      </c>
      <c r="O18" s="75" t="str">
        <f t="array" ref="O18">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ROW(16:16))), "-"))</f>
        <v>-</v>
      </c>
      <c r="P18" s="75" t="str">
        <f t="array" ref="P18">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ROW(16:16))), "-"))</f>
        <v>-</v>
      </c>
      <c r="Q18" s="75" t="str">
        <f t="array" ref="Q18">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ROW(16:16))), "-"))</f>
        <v>Thorsson Stoutmead</v>
      </c>
      <c r="R18" s="75" t="str">
        <f t="array" ref="R18">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ROW(16:16))), "-"))</f>
        <v>-</v>
      </c>
      <c r="S18" s="75" t="str">
        <f t="array" ref="S18">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ROW(16:16))), "-"))</f>
        <v>-</v>
      </c>
      <c r="X18" s="115"/>
    </row>
    <row r="19" spans="1:24" x14ac:dyDescent="0.25">
      <c r="A19" s="75" t="str">
        <f t="array" ref="A19">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ROW(17:17))), "-"))</f>
        <v>-</v>
      </c>
      <c r="B19" s="75" t="str">
        <f t="array" ref="B19">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ROW(17:17))), "-"))</f>
        <v>-</v>
      </c>
      <c r="C19" s="75" t="str">
        <f t="array" ref="C19">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ROW(17:17))), "-"))</f>
        <v>-</v>
      </c>
      <c r="D19" s="75" t="str">
        <f t="array" ref="D19">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ROW(17:17))), "-"))</f>
        <v>-</v>
      </c>
      <c r="E19" s="75" t="str">
        <f t="array" ref="E19">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ROW(17:17))), "-"))</f>
        <v>-</v>
      </c>
      <c r="F19" s="75" t="str">
        <f t="array" ref="F19">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ROW(17:17))), "-"))</f>
        <v>Withergrasp Doubledrool</v>
      </c>
      <c r="G19" s="75" t="str">
        <f t="array" ref="G19">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ROW(17:17))), "-"))</f>
        <v>Scrappa Sorehead</v>
      </c>
      <c r="H19" s="75" t="str">
        <f t="array" ref="H19">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ROW(17:17))), "-"))</f>
        <v>-</v>
      </c>
      <c r="I19" s="75" t="str">
        <f t="array" ref="I19">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ROW(17:17))), "-"))</f>
        <v>-</v>
      </c>
      <c r="J19" s="75" t="str">
        <f t="array" ref="J19">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ROW(17:17))), "-"))</f>
        <v>-</v>
      </c>
      <c r="K19" s="75" t="str">
        <f t="array" ref="K19">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ROW(17:17))), "-"))</f>
        <v>-</v>
      </c>
      <c r="L19" s="75" t="str">
        <f t="array" ref="L19">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ROW(17:17))), "-"))</f>
        <v>-</v>
      </c>
      <c r="M19" s="75" t="str">
        <f t="array" ref="M19">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ROW(17:17))), "-"))</f>
        <v>-</v>
      </c>
      <c r="N19" s="75" t="str">
        <f t="array" ref="N19">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ROW(17:17))), "-"))</f>
        <v>Thorsson Stoutmead</v>
      </c>
      <c r="O19" s="75" t="str">
        <f t="array" ref="O19">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ROW(17:17))), "-"))</f>
        <v>-</v>
      </c>
      <c r="P19" s="75" t="str">
        <f t="array" ref="P19">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ROW(17:17))), "-"))</f>
        <v>-</v>
      </c>
      <c r="Q19" s="75" t="str">
        <f t="array" ref="Q19">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ROW(17:17))), "-"))</f>
        <v>-</v>
      </c>
      <c r="R19" s="75" t="str">
        <f t="array" ref="R19">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ROW(17:17))), "-"))</f>
        <v>-</v>
      </c>
      <c r="S19" s="75" t="str">
        <f t="array" ref="S19">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ROW(17:17))), "-"))</f>
        <v>-</v>
      </c>
      <c r="X19" s="115"/>
    </row>
    <row r="20" spans="1:24" x14ac:dyDescent="0.25">
      <c r="A20" s="75" t="str">
        <f t="array" ref="A20">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ROW(18:18))), "-"))</f>
        <v>-</v>
      </c>
      <c r="B20" s="75" t="str">
        <f t="array" ref="B20">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ROW(18:18))), "-"))</f>
        <v>-</v>
      </c>
      <c r="C20" s="75" t="str">
        <f t="array" ref="C20">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ROW(18:18))), "-"))</f>
        <v>-</v>
      </c>
      <c r="D20" s="75" t="str">
        <f t="array" ref="D20">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ROW(18:18))), "-"))</f>
        <v>-</v>
      </c>
      <c r="E20" s="75" t="str">
        <f t="array" ref="E20">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ROW(18:18))), "-"))</f>
        <v>-</v>
      </c>
      <c r="F20" s="75" t="str">
        <f t="array" ref="F20">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ROW(18:18))), "-"))</f>
        <v>-</v>
      </c>
      <c r="G20" s="75" t="str">
        <f t="array" ref="G20">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ROW(18:18))), "-"))</f>
        <v>Skrorg Snowpelt</v>
      </c>
      <c r="H20" s="75" t="str">
        <f t="array" ref="H20">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ROW(18:18))), "-"))</f>
        <v>-</v>
      </c>
      <c r="I20" s="75" t="str">
        <f t="array" ref="I20">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ROW(18:18))), "-"))</f>
        <v>-</v>
      </c>
      <c r="J20" s="75" t="str">
        <f t="array" ref="J20">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ROW(18:18))), "-"))</f>
        <v>-</v>
      </c>
      <c r="K20" s="75" t="str">
        <f t="array" ref="K20">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ROW(18:18))), "-"))</f>
        <v>-</v>
      </c>
      <c r="L20" s="75" t="str">
        <f t="array" ref="L20">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ROW(18:18))), "-"))</f>
        <v>-</v>
      </c>
      <c r="M20" s="75" t="str">
        <f t="array" ref="M20">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ROW(18:18))), "-"))</f>
        <v>-</v>
      </c>
      <c r="N20" s="75" t="str">
        <f t="array" ref="N20">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ROW(18:18))), "-"))</f>
        <v>Zolcath the Zoat</v>
      </c>
      <c r="O20" s="75" t="str">
        <f t="array" ref="O20">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ROW(18:18))), "-"))</f>
        <v>-</v>
      </c>
      <c r="P20" s="75" t="str">
        <f t="array" ref="P20">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ROW(18:18))), "-"))</f>
        <v>-</v>
      </c>
      <c r="Q20" s="75" t="str">
        <f t="array" ref="Q20">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ROW(18:18))), "-"))</f>
        <v>-</v>
      </c>
      <c r="R20" s="75" t="str">
        <f t="array" ref="R20">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ROW(18:18))), "-"))</f>
        <v>-</v>
      </c>
      <c r="S20" s="75" t="str">
        <f t="array" ref="S20">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ROW(18:18))), "-"))</f>
        <v>-</v>
      </c>
    </row>
    <row r="21" spans="1:24" x14ac:dyDescent="0.25">
      <c r="A21" s="75" t="str">
        <f t="array" ref="A21">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ROW(19:19))), "-"))</f>
        <v>-</v>
      </c>
      <c r="B21" s="75" t="str">
        <f t="array" ref="B21">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ROW(19:19))), "-"))</f>
        <v>-</v>
      </c>
      <c r="C21" s="75" t="str">
        <f t="array" ref="C21">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ROW(19:19))), "-"))</f>
        <v>-</v>
      </c>
      <c r="D21" s="75" t="str">
        <f t="array" ref="D21">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ROW(19:19))), "-"))</f>
        <v>-</v>
      </c>
      <c r="E21" s="75" t="str">
        <f t="array" ref="E21">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ROW(19:19))), "-"))</f>
        <v>-</v>
      </c>
      <c r="F21" s="75" t="str">
        <f t="array" ref="F21">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ROW(19:19))), "-"))</f>
        <v>-</v>
      </c>
      <c r="G21" s="75" t="str">
        <f t="array" ref="G21">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ROW(19:19))), "-"))</f>
        <v>The Black Gobbo</v>
      </c>
      <c r="H21" s="75" t="str">
        <f t="array" ref="H21">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ROW(19:19))), "-"))</f>
        <v>-</v>
      </c>
      <c r="I21" s="75" t="str">
        <f t="array" ref="I21">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ROW(19:19))), "-"))</f>
        <v>-</v>
      </c>
      <c r="J21" s="75" t="str">
        <f t="array" ref="J21">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ROW(19:19))), "-"))</f>
        <v>-</v>
      </c>
      <c r="K21" s="75" t="str">
        <f t="array" ref="K21">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ROW(19:19))), "-"))</f>
        <v>-</v>
      </c>
      <c r="L21" s="75" t="str">
        <f t="array" ref="L21">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ROW(19:19))), "-"))</f>
        <v>-</v>
      </c>
      <c r="M21" s="75" t="str">
        <f t="array" ref="M21">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ROW(19:19))), "-"))</f>
        <v>-</v>
      </c>
      <c r="N21" s="75" t="str">
        <f t="array" ref="N21">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ROW(19:19))), "-"))</f>
        <v>-</v>
      </c>
      <c r="O21" s="75" t="str">
        <f t="array" ref="O21">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ROW(19:19))), "-"))</f>
        <v>-</v>
      </c>
      <c r="P21" s="75" t="str">
        <f t="array" ref="P21">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ROW(19:19))), "-"))</f>
        <v>-</v>
      </c>
      <c r="Q21" s="75" t="str">
        <f t="array" ref="Q21">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ROW(19:19))), "-"))</f>
        <v>-</v>
      </c>
      <c r="R21" s="75" t="str">
        <f t="array" ref="R21">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ROW(19:19))), "-"))</f>
        <v>-</v>
      </c>
      <c r="S21" s="75" t="str">
        <f t="array" ref="S21">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ROW(19:19))), "-"))</f>
        <v>-</v>
      </c>
    </row>
    <row r="22" spans="1:24" x14ac:dyDescent="0.25">
      <c r="A22" s="75" t="str">
        <f t="array" ref="A22">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ROW(20:20))), "-"))</f>
        <v>-</v>
      </c>
      <c r="B22" s="75" t="str">
        <f t="array" ref="B22">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ROW(20:20))), "-"))</f>
        <v>-</v>
      </c>
      <c r="C22" s="75" t="str">
        <f t="array" ref="C22">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ROW(20:20))), "-"))</f>
        <v>-</v>
      </c>
      <c r="D22" s="75" t="str">
        <f t="array" ref="D22">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ROW(20:20))), "-"))</f>
        <v>-</v>
      </c>
      <c r="E22" s="75" t="str">
        <f t="array" ref="E22">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ROW(20:20))), "-"))</f>
        <v>-</v>
      </c>
      <c r="F22" s="75" t="str">
        <f t="array" ref="F22">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ROW(20:20))), "-"))</f>
        <v>-</v>
      </c>
      <c r="G22" s="75" t="str">
        <f t="array" ref="G22">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ROW(20:20))), "-"))</f>
        <v>Thorsson Stoutmead</v>
      </c>
      <c r="H22" s="75" t="str">
        <f t="array" ref="H22">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ROW(20:20))), "-"))</f>
        <v>-</v>
      </c>
      <c r="I22" s="75" t="str">
        <f t="array" ref="I22">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ROW(20:20))), "-"))</f>
        <v>-</v>
      </c>
      <c r="J22" s="75" t="str">
        <f t="array" ref="J22">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ROW(20:20))), "-"))</f>
        <v>-</v>
      </c>
      <c r="K22" s="75" t="str">
        <f t="array" ref="K22">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ROW(20:20))), "-"))</f>
        <v>-</v>
      </c>
      <c r="L22" s="75" t="str">
        <f t="array" ref="L22">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ROW(20:20))), "-"))</f>
        <v>-</v>
      </c>
      <c r="M22" s="75" t="str">
        <f t="array" ref="M22">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ROW(20:20))), "-"))</f>
        <v>-</v>
      </c>
      <c r="N22" s="75" t="str">
        <f t="array" ref="N22">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ROW(20:20))), "-"))</f>
        <v>-</v>
      </c>
      <c r="O22" s="75" t="str">
        <f t="array" ref="O22">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ROW(20:20))), "-"))</f>
        <v>-</v>
      </c>
      <c r="P22" s="75" t="str">
        <f t="array" ref="P22">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ROW(20:20))), "-"))</f>
        <v>-</v>
      </c>
      <c r="Q22" s="75" t="str">
        <f t="array" ref="Q22">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ROW(20:20))), "-"))</f>
        <v>-</v>
      </c>
      <c r="R22" s="75" t="str">
        <f t="array" ref="R22">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ROW(20:20))), "-"))</f>
        <v>-</v>
      </c>
      <c r="S22" s="75" t="str">
        <f t="array" ref="S22">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ROW(20:20))), "-"))</f>
        <v>-</v>
      </c>
    </row>
    <row r="25" spans="1:24" x14ac:dyDescent="0.25">
      <c r="A25" s="97" t="s">
        <v>975</v>
      </c>
      <c r="B25" s="97"/>
      <c r="C25" s="97"/>
      <c r="D25" s="97"/>
      <c r="E25" s="97"/>
      <c r="F25" s="97"/>
      <c r="G25" s="97"/>
      <c r="H25" s="97"/>
      <c r="I25" s="97"/>
      <c r="J25" s="97"/>
      <c r="K25" s="97"/>
      <c r="L25" s="97"/>
      <c r="M25" s="97"/>
      <c r="N25" s="97"/>
    </row>
    <row r="26" spans="1:24" ht="15.75" thickBot="1" x14ac:dyDescent="0.3">
      <c r="A26" s="208" t="s">
        <v>13</v>
      </c>
      <c r="B26" s="208" t="s">
        <v>847</v>
      </c>
      <c r="C26" s="209" t="s">
        <v>715</v>
      </c>
      <c r="D26" s="209" t="s">
        <v>4</v>
      </c>
      <c r="E26" s="209" t="s">
        <v>5</v>
      </c>
      <c r="F26" s="209" t="s">
        <v>6</v>
      </c>
      <c r="G26" s="209" t="s">
        <v>7</v>
      </c>
      <c r="H26" s="209" t="s">
        <v>8</v>
      </c>
      <c r="I26" s="208" t="s">
        <v>566</v>
      </c>
      <c r="J26" s="208" t="s">
        <v>828</v>
      </c>
      <c r="K26" s="208" t="s">
        <v>829</v>
      </c>
      <c r="L26" s="208" t="s">
        <v>830</v>
      </c>
      <c r="M26" s="208" t="s">
        <v>831</v>
      </c>
      <c r="N26" s="208" t="s">
        <v>897</v>
      </c>
    </row>
    <row r="27" spans="1:24" x14ac:dyDescent="0.25">
      <c r="A27" s="75" t="s">
        <v>798</v>
      </c>
      <c r="B27" s="75" t="s">
        <v>482</v>
      </c>
      <c r="C27" s="93">
        <v>50</v>
      </c>
      <c r="D27" s="93">
        <v>6</v>
      </c>
      <c r="E27" s="93">
        <v>2</v>
      </c>
      <c r="F27" s="93">
        <v>3</v>
      </c>
      <c r="G27" s="210">
        <v>3</v>
      </c>
      <c r="H27" s="93">
        <v>8</v>
      </c>
      <c r="I27" s="75" t="s">
        <v>853</v>
      </c>
      <c r="J27" s="75" t="str">
        <f>LEFT(K27,FIND(":",K27)-1)</f>
        <v>KABOOM!</v>
      </c>
      <c r="K27" s="75" t="s">
        <v>799</v>
      </c>
      <c r="L27" s="75" t="str">
        <f t="shared" ref="L27:L40" si="0">"Hiring this star costs "&amp;M27&amp;" Skill Points."</f>
        <v>Hiring this star costs 1 Skill Points.</v>
      </c>
      <c r="M27" s="75">
        <f t="shared" ref="M27:M40" si="1">1 + FLOOR(C27, 100) / 100</f>
        <v>1</v>
      </c>
      <c r="N27" s="75" t="s">
        <v>901</v>
      </c>
    </row>
    <row r="28" spans="1:24" x14ac:dyDescent="0.25">
      <c r="A28" s="75" t="s">
        <v>892</v>
      </c>
      <c r="B28" s="75" t="s">
        <v>820</v>
      </c>
      <c r="C28" s="93">
        <v>50</v>
      </c>
      <c r="D28" s="93">
        <v>5</v>
      </c>
      <c r="E28" s="93">
        <v>2</v>
      </c>
      <c r="F28" s="93">
        <v>3</v>
      </c>
      <c r="G28" s="210">
        <v>3</v>
      </c>
      <c r="H28" s="93">
        <v>7</v>
      </c>
      <c r="I28" s="75" t="s">
        <v>893</v>
      </c>
      <c r="J28" s="75" t="str">
        <f>LEFT(K28,FIND(":",K28)-1)</f>
        <v>ALL YOU CAN EAT</v>
      </c>
      <c r="K28" s="75" t="s">
        <v>913</v>
      </c>
      <c r="L28" s="75" t="str">
        <f t="shared" si="0"/>
        <v>Hiring this star costs 1 Skill Points.</v>
      </c>
      <c r="M28" s="75">
        <f t="shared" si="1"/>
        <v>1</v>
      </c>
      <c r="N28" s="75" t="s">
        <v>901</v>
      </c>
    </row>
    <row r="29" spans="1:24" x14ac:dyDescent="0.25">
      <c r="A29" s="75" t="s">
        <v>465</v>
      </c>
      <c r="B29" s="75" t="s">
        <v>820</v>
      </c>
      <c r="C29" s="93">
        <v>280</v>
      </c>
      <c r="D29" s="93">
        <v>2</v>
      </c>
      <c r="E29" s="93">
        <v>7</v>
      </c>
      <c r="F29" s="93">
        <v>5</v>
      </c>
      <c r="G29" s="93">
        <v>4</v>
      </c>
      <c r="H29" s="93">
        <v>11</v>
      </c>
      <c r="I29" s="75" t="s">
        <v>855</v>
      </c>
      <c r="J29" s="75" t="str">
        <f>LEFT(K29,FIND(":",K29)-1)</f>
        <v>RELIABLE</v>
      </c>
      <c r="K29" s="75" t="s">
        <v>503</v>
      </c>
      <c r="L29" s="75" t="str">
        <f t="shared" si="0"/>
        <v>Hiring this star costs 3 Skill Points.</v>
      </c>
      <c r="M29" s="75">
        <f t="shared" si="1"/>
        <v>3</v>
      </c>
      <c r="N29" s="75" t="s">
        <v>901</v>
      </c>
    </row>
    <row r="30" spans="1:24" x14ac:dyDescent="0.25">
      <c r="A30" s="75" t="s">
        <v>899</v>
      </c>
      <c r="B30" s="75" t="s">
        <v>165</v>
      </c>
      <c r="C30" s="93">
        <v>95</v>
      </c>
      <c r="D30" s="93">
        <v>8</v>
      </c>
      <c r="E30" s="93">
        <v>2</v>
      </c>
      <c r="F30" s="93">
        <v>3</v>
      </c>
      <c r="G30" s="93">
        <v>4</v>
      </c>
      <c r="H30" s="93">
        <v>8</v>
      </c>
      <c r="I30" s="75" t="s">
        <v>902</v>
      </c>
      <c r="J30" s="75" t="str">
        <f>LEFT(K30,FIND(":",K30)-1)</f>
        <v>A SNEAKY PAIR</v>
      </c>
      <c r="K30" s="75" t="s">
        <v>909</v>
      </c>
      <c r="L30" s="75" t="str">
        <f t="shared" si="0"/>
        <v>Hiring this star costs 1 Skill Points.</v>
      </c>
      <c r="M30" s="75">
        <f t="shared" si="1"/>
        <v>1</v>
      </c>
      <c r="N30" s="75" t="s">
        <v>901</v>
      </c>
    </row>
    <row r="31" spans="1:24" x14ac:dyDescent="0.25">
      <c r="A31" s="75" t="s">
        <v>900</v>
      </c>
      <c r="B31" s="75" t="s">
        <v>165</v>
      </c>
      <c r="C31" s="93">
        <v>95</v>
      </c>
      <c r="D31" s="93">
        <v>8</v>
      </c>
      <c r="E31" s="93">
        <v>2</v>
      </c>
      <c r="F31" s="93">
        <v>3</v>
      </c>
      <c r="G31" s="93">
        <v>4</v>
      </c>
      <c r="H31" s="93">
        <v>8</v>
      </c>
      <c r="I31" s="75" t="s">
        <v>903</v>
      </c>
      <c r="J31" s="75" t="str">
        <f t="shared" ref="J31" si="2">LEFT(K31,FIND(":",K31)-1)</f>
        <v>A SNEAKY PAIR</v>
      </c>
      <c r="K31" s="75" t="s">
        <v>909</v>
      </c>
      <c r="L31" s="75" t="str">
        <f t="shared" si="0"/>
        <v>Hiring this star costs 1 Skill Points.</v>
      </c>
      <c r="M31" s="75">
        <f t="shared" si="1"/>
        <v>1</v>
      </c>
      <c r="N31" s="75" t="s">
        <v>901</v>
      </c>
    </row>
    <row r="32" spans="1:24" x14ac:dyDescent="0.25">
      <c r="A32" s="75" t="s">
        <v>904</v>
      </c>
      <c r="B32" s="75" t="s">
        <v>165</v>
      </c>
      <c r="C32" s="93">
        <v>190</v>
      </c>
      <c r="D32" s="93">
        <v>6</v>
      </c>
      <c r="E32" s="93">
        <v>3</v>
      </c>
      <c r="F32" s="93">
        <v>3</v>
      </c>
      <c r="G32" s="93">
        <v>4</v>
      </c>
      <c r="H32" s="93">
        <v>8</v>
      </c>
      <c r="I32" s="75" t="s">
        <v>905</v>
      </c>
      <c r="J32" s="75" t="str">
        <f t="shared" ref="J32:J40" si="3">LEFT(K32,FIND(":",K32)-1)</f>
        <v>BALEFUL HEX</v>
      </c>
      <c r="K32" s="75" t="s">
        <v>914</v>
      </c>
      <c r="L32" s="75" t="str">
        <f t="shared" si="0"/>
        <v>Hiring this star costs 2 Skill Points.</v>
      </c>
      <c r="M32" s="75">
        <f t="shared" si="1"/>
        <v>2</v>
      </c>
      <c r="N32" s="75" t="s">
        <v>901</v>
      </c>
    </row>
    <row r="33" spans="1:14" x14ac:dyDescent="0.25">
      <c r="A33" s="75" t="s">
        <v>469</v>
      </c>
      <c r="B33" s="75" t="s">
        <v>820</v>
      </c>
      <c r="C33" s="93">
        <v>280</v>
      </c>
      <c r="D33" s="93">
        <v>7</v>
      </c>
      <c r="E33" s="93">
        <v>4</v>
      </c>
      <c r="F33" s="93">
        <v>2</v>
      </c>
      <c r="G33" s="93">
        <v>3</v>
      </c>
      <c r="H33" s="93">
        <v>9</v>
      </c>
      <c r="I33" s="75" t="s">
        <v>865</v>
      </c>
      <c r="J33" s="75" t="str">
        <f t="shared" si="3"/>
        <v>CONSUMMATE PROFESSIONAL</v>
      </c>
      <c r="K33" s="75" t="s">
        <v>509</v>
      </c>
      <c r="L33" s="75" t="str">
        <f t="shared" si="0"/>
        <v>Hiring this star costs 3 Skill Points.</v>
      </c>
      <c r="M33" s="75">
        <f t="shared" si="1"/>
        <v>3</v>
      </c>
      <c r="N33" s="75" t="s">
        <v>901</v>
      </c>
    </row>
    <row r="34" spans="1:14" x14ac:dyDescent="0.25">
      <c r="A34" s="75" t="s">
        <v>471</v>
      </c>
      <c r="B34" s="75" t="s">
        <v>836</v>
      </c>
      <c r="C34" s="93">
        <v>210</v>
      </c>
      <c r="D34" s="93">
        <v>9</v>
      </c>
      <c r="E34" s="93">
        <v>3</v>
      </c>
      <c r="F34" s="93">
        <v>2</v>
      </c>
      <c r="G34" s="93">
        <v>3</v>
      </c>
      <c r="H34" s="93">
        <v>8</v>
      </c>
      <c r="I34" s="75" t="s">
        <v>868</v>
      </c>
      <c r="J34" s="75" t="str">
        <f t="shared" si="3"/>
        <v>TREACHEROUS</v>
      </c>
      <c r="K34" s="75" t="s">
        <v>512</v>
      </c>
      <c r="L34" s="75" t="str">
        <f t="shared" si="0"/>
        <v>Hiring this star costs 3 Skill Points.</v>
      </c>
      <c r="M34" s="75">
        <f t="shared" si="1"/>
        <v>3</v>
      </c>
      <c r="N34" s="75" t="s">
        <v>901</v>
      </c>
    </row>
    <row r="35" spans="1:14" x14ac:dyDescent="0.25">
      <c r="A35" s="75" t="s">
        <v>756</v>
      </c>
      <c r="B35" s="75" t="s">
        <v>836</v>
      </c>
      <c r="C35" s="93">
        <v>170</v>
      </c>
      <c r="D35" s="93">
        <v>5</v>
      </c>
      <c r="E35" s="93">
        <v>7</v>
      </c>
      <c r="F35" s="93">
        <v>4</v>
      </c>
      <c r="G35" s="93" t="s">
        <v>14</v>
      </c>
      <c r="H35" s="93">
        <v>10</v>
      </c>
      <c r="I35" s="75" t="s">
        <v>761</v>
      </c>
      <c r="J35" s="75" t="str">
        <f t="shared" si="3"/>
        <v>I'LL BE BACK!</v>
      </c>
      <c r="K35" s="75" t="s">
        <v>760</v>
      </c>
      <c r="L35" s="75" t="str">
        <f t="shared" si="0"/>
        <v>Hiring this star costs 2 Skill Points.</v>
      </c>
      <c r="M35" s="75">
        <f t="shared" si="1"/>
        <v>2</v>
      </c>
      <c r="N35" s="75" t="s">
        <v>901</v>
      </c>
    </row>
    <row r="36" spans="1:14" x14ac:dyDescent="0.25">
      <c r="A36" s="75" t="s">
        <v>475</v>
      </c>
      <c r="B36" s="75" t="s">
        <v>842</v>
      </c>
      <c r="C36" s="93">
        <v>380</v>
      </c>
      <c r="D36" s="93">
        <v>6</v>
      </c>
      <c r="E36" s="93">
        <v>6</v>
      </c>
      <c r="F36" s="93">
        <v>3</v>
      </c>
      <c r="G36" s="93">
        <v>4</v>
      </c>
      <c r="H36" s="93">
        <v>11</v>
      </c>
      <c r="I36" s="75" t="s">
        <v>874</v>
      </c>
      <c r="J36" s="75" t="str">
        <f t="shared" si="3"/>
        <v>THE BALLISTA</v>
      </c>
      <c r="K36" s="75" t="s">
        <v>516</v>
      </c>
      <c r="L36" s="75" t="str">
        <f t="shared" si="0"/>
        <v>Hiring this star costs 4 Skill Points.</v>
      </c>
      <c r="M36" s="75">
        <f t="shared" si="1"/>
        <v>4</v>
      </c>
      <c r="N36" s="75" t="s">
        <v>901</v>
      </c>
    </row>
    <row r="37" spans="1:14" x14ac:dyDescent="0.25">
      <c r="A37" s="75" t="s">
        <v>930</v>
      </c>
      <c r="B37" s="75" t="s">
        <v>161</v>
      </c>
      <c r="C37" s="93">
        <v>70</v>
      </c>
      <c r="D37" s="93">
        <v>6</v>
      </c>
      <c r="E37" s="93">
        <v>2</v>
      </c>
      <c r="F37" s="93">
        <v>3</v>
      </c>
      <c r="G37" s="93">
        <v>4</v>
      </c>
      <c r="H37" s="93">
        <v>7</v>
      </c>
      <c r="I37" s="75" t="s">
        <v>931</v>
      </c>
      <c r="J37" s="75" t="str">
        <f t="shared" si="3"/>
        <v>CATCH OF THE DAY</v>
      </c>
      <c r="K37" s="75" t="s">
        <v>932</v>
      </c>
      <c r="L37" s="75" t="str">
        <f t="shared" si="0"/>
        <v>Hiring this star costs 1 Skill Points.</v>
      </c>
      <c r="M37" s="75">
        <f t="shared" si="1"/>
        <v>1</v>
      </c>
      <c r="N37" s="75" t="s">
        <v>901</v>
      </c>
    </row>
    <row r="38" spans="1:14" x14ac:dyDescent="0.25">
      <c r="A38" s="75" t="s">
        <v>934</v>
      </c>
      <c r="B38" s="75" t="s">
        <v>161</v>
      </c>
      <c r="C38" s="93">
        <v>160</v>
      </c>
      <c r="D38" s="93">
        <v>6</v>
      </c>
      <c r="E38" s="93">
        <v>3</v>
      </c>
      <c r="F38" s="93">
        <v>3</v>
      </c>
      <c r="G38" s="93">
        <v>4</v>
      </c>
      <c r="H38" s="93">
        <v>8</v>
      </c>
      <c r="I38" s="75" t="s">
        <v>935</v>
      </c>
      <c r="J38" s="75" t="str">
        <f t="shared" si="3"/>
        <v>BOUNDING LEAP</v>
      </c>
      <c r="K38" s="75" t="s">
        <v>936</v>
      </c>
      <c r="L38" s="75" t="str">
        <f t="shared" si="0"/>
        <v>Hiring this star costs 2 Skill Points.</v>
      </c>
      <c r="M38" s="75">
        <f t="shared" si="1"/>
        <v>2</v>
      </c>
      <c r="N38" s="75" t="s">
        <v>901</v>
      </c>
    </row>
    <row r="39" spans="1:14" x14ac:dyDescent="0.25">
      <c r="A39" s="75" t="s">
        <v>940</v>
      </c>
      <c r="B39" s="75" t="s">
        <v>836</v>
      </c>
      <c r="C39" s="93">
        <v>150</v>
      </c>
      <c r="D39" s="93">
        <v>9</v>
      </c>
      <c r="E39" s="93">
        <v>2</v>
      </c>
      <c r="F39" s="93">
        <v>2</v>
      </c>
      <c r="G39" s="210">
        <v>4</v>
      </c>
      <c r="H39" s="93">
        <v>8</v>
      </c>
      <c r="I39" s="75" t="s">
        <v>942</v>
      </c>
      <c r="J39" s="75" t="str">
        <f t="shared" si="3"/>
        <v>MASTER ASSASSIN</v>
      </c>
      <c r="K39" s="75" t="s">
        <v>941</v>
      </c>
      <c r="L39" s="75" t="str">
        <f t="shared" si="0"/>
        <v>Hiring this star costs 2 Skill Points.</v>
      </c>
      <c r="M39" s="75">
        <f t="shared" si="1"/>
        <v>2</v>
      </c>
      <c r="N39" s="75" t="s">
        <v>901</v>
      </c>
    </row>
    <row r="40" spans="1:14" x14ac:dyDescent="0.25">
      <c r="A40" s="75" t="s">
        <v>478</v>
      </c>
      <c r="B40" s="75" t="s">
        <v>482</v>
      </c>
      <c r="C40" s="93">
        <v>280</v>
      </c>
      <c r="D40" s="93">
        <v>6</v>
      </c>
      <c r="E40" s="93">
        <v>5</v>
      </c>
      <c r="F40" s="93">
        <v>3</v>
      </c>
      <c r="G40" s="93">
        <v>5</v>
      </c>
      <c r="H40" s="93">
        <v>10</v>
      </c>
      <c r="I40" s="75" t="s">
        <v>884</v>
      </c>
      <c r="J40" s="75" t="str">
        <f t="shared" si="3"/>
        <v>CRUSHING BLOW</v>
      </c>
      <c r="K40" s="75" t="s">
        <v>614</v>
      </c>
      <c r="L40" s="75" t="str">
        <f t="shared" si="0"/>
        <v>Hiring this star costs 3 Skill Points.</v>
      </c>
      <c r="M40" s="75">
        <f t="shared" si="1"/>
        <v>3</v>
      </c>
      <c r="N40" s="75" t="s">
        <v>901</v>
      </c>
    </row>
    <row r="43" spans="1:14" x14ac:dyDescent="0.25">
      <c r="A43" s="97" t="s">
        <v>964</v>
      </c>
      <c r="B43" s="96"/>
      <c r="C43" s="96"/>
      <c r="D43" s="96"/>
      <c r="E43" s="96"/>
      <c r="F43" s="96"/>
      <c r="G43" s="96"/>
      <c r="H43" s="96"/>
      <c r="I43" s="96"/>
      <c r="J43" s="96"/>
      <c r="K43" s="96"/>
      <c r="L43" s="96"/>
      <c r="M43" s="96"/>
      <c r="N43" s="96"/>
    </row>
    <row r="44" spans="1:14" ht="15.75" thickBot="1" x14ac:dyDescent="0.3">
      <c r="A44" s="149" t="s">
        <v>13</v>
      </c>
      <c r="B44" s="149" t="s">
        <v>847</v>
      </c>
      <c r="C44" s="211" t="s">
        <v>715</v>
      </c>
      <c r="D44" s="211" t="s">
        <v>4</v>
      </c>
      <c r="E44" s="211" t="s">
        <v>5</v>
      </c>
      <c r="F44" s="211" t="s">
        <v>6</v>
      </c>
      <c r="G44" s="211" t="s">
        <v>7</v>
      </c>
      <c r="H44" s="211" t="s">
        <v>8</v>
      </c>
      <c r="I44" s="149" t="s">
        <v>566</v>
      </c>
      <c r="J44" s="149" t="s">
        <v>828</v>
      </c>
      <c r="K44" s="149" t="s">
        <v>829</v>
      </c>
      <c r="L44" s="149" t="s">
        <v>830</v>
      </c>
      <c r="M44" s="149" t="s">
        <v>831</v>
      </c>
      <c r="N44" s="149" t="s">
        <v>897</v>
      </c>
    </row>
    <row r="45" spans="1:14" x14ac:dyDescent="0.25">
      <c r="A45" s="212" t="s">
        <v>605</v>
      </c>
      <c r="B45" s="212" t="s">
        <v>841</v>
      </c>
      <c r="C45" s="213">
        <v>80</v>
      </c>
      <c r="D45" s="213">
        <v>7</v>
      </c>
      <c r="E45" s="213">
        <v>1</v>
      </c>
      <c r="F45" s="213">
        <v>2</v>
      </c>
      <c r="G45" s="214" t="s">
        <v>14</v>
      </c>
      <c r="H45" s="213">
        <v>6</v>
      </c>
      <c r="I45" s="212" t="s">
        <v>851</v>
      </c>
      <c r="J45" s="212" t="str">
        <f>LEFT(K45,FIND(":",K45)-1)</f>
        <v>BLIND RAGE</v>
      </c>
      <c r="K45" s="212" t="s">
        <v>606</v>
      </c>
      <c r="L45" s="212" t="str">
        <f>"Hiring this star costs "&amp;M45&amp;" Skill Points."</f>
        <v>Hiring this star costs 1 Skill Points.</v>
      </c>
      <c r="M45" s="212">
        <f>1 + FLOOR(C45, 100) / 100</f>
        <v>1</v>
      </c>
      <c r="N45" s="212" t="s">
        <v>898</v>
      </c>
    </row>
    <row r="46" spans="1:14" x14ac:dyDescent="0.25">
      <c r="A46" s="75" t="s">
        <v>800</v>
      </c>
      <c r="B46" s="75" t="s">
        <v>820</v>
      </c>
      <c r="C46" s="93">
        <v>80</v>
      </c>
      <c r="D46" s="93">
        <v>6</v>
      </c>
      <c r="E46" s="93">
        <v>3</v>
      </c>
      <c r="F46" s="93">
        <v>4</v>
      </c>
      <c r="G46" s="210">
        <v>3</v>
      </c>
      <c r="H46" s="93">
        <v>9</v>
      </c>
      <c r="I46" s="75" t="s">
        <v>852</v>
      </c>
      <c r="J46" s="75" t="str">
        <f t="shared" ref="J46:J88" si="4">LEFT(K46,FIND(":",K46)-1)</f>
        <v>BLAST IT!</v>
      </c>
      <c r="K46" s="75" t="s">
        <v>804</v>
      </c>
      <c r="L46" s="75" t="str">
        <f t="shared" ref="L46:L88" si="5">"Hiring this star costs "&amp;M46&amp;" Skill Points."</f>
        <v>Hiring this star costs 1 Skill Points.</v>
      </c>
      <c r="M46" s="75">
        <f t="shared" ref="M46:M88" si="6">1 + FLOOR(C46, 100) / 100</f>
        <v>1</v>
      </c>
      <c r="N46" s="75" t="s">
        <v>898</v>
      </c>
    </row>
    <row r="47" spans="1:14" x14ac:dyDescent="0.25">
      <c r="A47" s="75" t="s">
        <v>849</v>
      </c>
      <c r="B47" s="75" t="s">
        <v>808</v>
      </c>
      <c r="C47" s="93">
        <v>180</v>
      </c>
      <c r="D47" s="93">
        <v>4</v>
      </c>
      <c r="E47" s="93">
        <v>5</v>
      </c>
      <c r="F47" s="93">
        <v>4</v>
      </c>
      <c r="G47" s="210">
        <v>6</v>
      </c>
      <c r="H47" s="93">
        <v>10</v>
      </c>
      <c r="I47" s="75" t="s">
        <v>850</v>
      </c>
      <c r="J47" s="75" t="str">
        <f t="shared" si="4"/>
        <v>PUTRID REGURGITATION</v>
      </c>
      <c r="K47" s="75" t="s">
        <v>911</v>
      </c>
      <c r="L47" s="75" t="str">
        <f t="shared" si="5"/>
        <v>Hiring this star costs 2 Skill Points.</v>
      </c>
      <c r="M47" s="75">
        <f t="shared" si="6"/>
        <v>2</v>
      </c>
      <c r="N47" s="75" t="s">
        <v>898</v>
      </c>
    </row>
    <row r="48" spans="1:14" x14ac:dyDescent="0.25">
      <c r="A48" s="75" t="s">
        <v>888</v>
      </c>
      <c r="B48" s="75" t="s">
        <v>165</v>
      </c>
      <c r="C48" s="93">
        <v>200</v>
      </c>
      <c r="D48" s="93">
        <v>6</v>
      </c>
      <c r="E48" s="93">
        <v>3</v>
      </c>
      <c r="F48" s="93">
        <v>3</v>
      </c>
      <c r="G48" s="210">
        <v>4</v>
      </c>
      <c r="H48" s="93">
        <v>9</v>
      </c>
      <c r="I48" s="75" t="s">
        <v>889</v>
      </c>
      <c r="J48" s="75" t="str">
        <f t="shared" si="4"/>
        <v>LOOK INTO MY EYES</v>
      </c>
      <c r="K48" s="75" t="s">
        <v>912</v>
      </c>
      <c r="L48" s="75" t="str">
        <f t="shared" si="5"/>
        <v>Hiring this star costs 3 Skill Points.</v>
      </c>
      <c r="M48" s="75">
        <f t="shared" si="6"/>
        <v>3</v>
      </c>
      <c r="N48" s="75" t="s">
        <v>898</v>
      </c>
    </row>
    <row r="49" spans="1:14" x14ac:dyDescent="0.25">
      <c r="A49" s="75" t="s">
        <v>801</v>
      </c>
      <c r="B49" s="75" t="s">
        <v>166</v>
      </c>
      <c r="C49" s="93">
        <v>130</v>
      </c>
      <c r="D49" s="93">
        <v>5</v>
      </c>
      <c r="E49" s="93">
        <v>3</v>
      </c>
      <c r="F49" s="93">
        <v>4</v>
      </c>
      <c r="G49" s="210" t="s">
        <v>14</v>
      </c>
      <c r="H49" s="93">
        <v>10</v>
      </c>
      <c r="I49" s="75" t="s">
        <v>854</v>
      </c>
      <c r="J49" s="75" t="str">
        <f t="shared" si="4"/>
        <v>GHOSTLY FLAMES</v>
      </c>
      <c r="K49" s="75" t="s">
        <v>597</v>
      </c>
      <c r="L49" s="75" t="str">
        <f t="shared" si="5"/>
        <v>Hiring this star costs 2 Skill Points.</v>
      </c>
      <c r="M49" s="75">
        <f t="shared" si="6"/>
        <v>2</v>
      </c>
      <c r="N49" s="75" t="s">
        <v>898</v>
      </c>
    </row>
    <row r="50" spans="1:14" x14ac:dyDescent="0.25">
      <c r="A50" s="75" t="s">
        <v>890</v>
      </c>
      <c r="B50" s="75" t="s">
        <v>166</v>
      </c>
      <c r="C50" s="93">
        <v>230</v>
      </c>
      <c r="D50" s="93">
        <v>7</v>
      </c>
      <c r="E50" s="93">
        <v>4</v>
      </c>
      <c r="F50" s="93">
        <v>2</v>
      </c>
      <c r="G50" s="210">
        <v>4</v>
      </c>
      <c r="H50" s="93">
        <v>9</v>
      </c>
      <c r="I50" s="75" t="s">
        <v>891</v>
      </c>
      <c r="J50" s="75" t="str">
        <f t="shared" si="4"/>
        <v>TASTY MORSEL</v>
      </c>
      <c r="K50" s="75" t="s">
        <v>910</v>
      </c>
      <c r="L50" s="75" t="str">
        <f t="shared" si="5"/>
        <v>Hiring this star costs 3 Skill Points.</v>
      </c>
      <c r="M50" s="75">
        <f t="shared" si="6"/>
        <v>3</v>
      </c>
      <c r="N50" s="75" t="s">
        <v>898</v>
      </c>
    </row>
    <row r="51" spans="1:14" x14ac:dyDescent="0.25">
      <c r="A51" s="75" t="s">
        <v>894</v>
      </c>
      <c r="B51" s="75" t="s">
        <v>166</v>
      </c>
      <c r="C51" s="93">
        <v>340</v>
      </c>
      <c r="D51" s="93">
        <v>6</v>
      </c>
      <c r="E51" s="93">
        <v>5</v>
      </c>
      <c r="F51" s="93">
        <v>2</v>
      </c>
      <c r="G51" s="210">
        <v>3</v>
      </c>
      <c r="H51" s="93">
        <v>10</v>
      </c>
      <c r="I51" s="75" t="s">
        <v>895</v>
      </c>
      <c r="J51" s="75" t="str">
        <f t="shared" si="4"/>
        <v>STAR OF THE SHOW</v>
      </c>
      <c r="K51" s="75" t="s">
        <v>896</v>
      </c>
      <c r="L51" s="75" t="str">
        <f t="shared" si="5"/>
        <v>Hiring this star costs 4 Skill Points.</v>
      </c>
      <c r="M51" s="75">
        <f t="shared" si="6"/>
        <v>4</v>
      </c>
      <c r="N51" s="75" t="s">
        <v>898</v>
      </c>
    </row>
    <row r="52" spans="1:14" x14ac:dyDescent="0.25">
      <c r="A52" s="75" t="s">
        <v>466</v>
      </c>
      <c r="B52" s="75" t="s">
        <v>160</v>
      </c>
      <c r="C52" s="93">
        <v>230</v>
      </c>
      <c r="D52" s="93">
        <v>8</v>
      </c>
      <c r="E52" s="93">
        <v>3</v>
      </c>
      <c r="F52" s="93">
        <v>2</v>
      </c>
      <c r="G52" s="93">
        <v>5</v>
      </c>
      <c r="H52" s="93">
        <v>8</v>
      </c>
      <c r="I52" s="75" t="s">
        <v>856</v>
      </c>
      <c r="J52" s="75" t="str">
        <f t="shared" si="4"/>
        <v>MESMERIZING DANCE</v>
      </c>
      <c r="K52" s="75" t="s">
        <v>504</v>
      </c>
      <c r="L52" s="75" t="str">
        <f t="shared" si="5"/>
        <v>Hiring this star costs 3 Skill Points.</v>
      </c>
      <c r="M52" s="75">
        <f t="shared" si="6"/>
        <v>3</v>
      </c>
      <c r="N52" s="75" t="s">
        <v>898</v>
      </c>
    </row>
    <row r="53" spans="1:14" x14ac:dyDescent="0.25">
      <c r="A53" s="75" t="s">
        <v>594</v>
      </c>
      <c r="B53" s="75" t="s">
        <v>819</v>
      </c>
      <c r="C53" s="93">
        <v>250</v>
      </c>
      <c r="D53" s="93">
        <v>4</v>
      </c>
      <c r="E53" s="93">
        <v>5</v>
      </c>
      <c r="F53" s="93">
        <v>4</v>
      </c>
      <c r="G53" s="210" t="s">
        <v>14</v>
      </c>
      <c r="H53" s="93">
        <v>10</v>
      </c>
      <c r="I53" s="75" t="s">
        <v>857</v>
      </c>
      <c r="J53" s="75" t="str">
        <f t="shared" si="4"/>
        <v>BRUTAL BLOCK</v>
      </c>
      <c r="K53" s="75" t="s">
        <v>593</v>
      </c>
      <c r="L53" s="75" t="str">
        <f t="shared" si="5"/>
        <v>Hiring this star costs 3 Skill Points.</v>
      </c>
      <c r="M53" s="75">
        <f t="shared" si="6"/>
        <v>3</v>
      </c>
      <c r="N53" s="75" t="s">
        <v>898</v>
      </c>
    </row>
    <row r="54" spans="1:14" x14ac:dyDescent="0.25">
      <c r="A54" s="75" t="s">
        <v>796</v>
      </c>
      <c r="B54" s="75" t="s">
        <v>482</v>
      </c>
      <c r="C54" s="93">
        <v>80</v>
      </c>
      <c r="D54" s="93">
        <v>4</v>
      </c>
      <c r="E54" s="93">
        <v>7</v>
      </c>
      <c r="F54" s="93">
        <v>3</v>
      </c>
      <c r="G54" s="210" t="s">
        <v>14</v>
      </c>
      <c r="H54" s="93">
        <v>8</v>
      </c>
      <c r="I54" s="75" t="s">
        <v>858</v>
      </c>
      <c r="J54" s="75" t="str">
        <f t="shared" si="4"/>
        <v>WHIRLING DERVISH!</v>
      </c>
      <c r="K54" s="75" t="s">
        <v>797</v>
      </c>
      <c r="L54" s="75" t="str">
        <f t="shared" si="5"/>
        <v>Hiring this star costs 1 Skill Points.</v>
      </c>
      <c r="M54" s="75">
        <f t="shared" si="6"/>
        <v>1</v>
      </c>
      <c r="N54" s="75" t="s">
        <v>898</v>
      </c>
    </row>
    <row r="55" spans="1:14" x14ac:dyDescent="0.25">
      <c r="A55" s="75" t="s">
        <v>467</v>
      </c>
      <c r="B55" s="75" t="s">
        <v>836</v>
      </c>
      <c r="C55" s="93">
        <v>195</v>
      </c>
      <c r="D55" s="93">
        <v>5</v>
      </c>
      <c r="E55" s="93">
        <v>4</v>
      </c>
      <c r="F55" s="93">
        <v>4</v>
      </c>
      <c r="G55" s="210" t="s">
        <v>14</v>
      </c>
      <c r="H55" s="93">
        <v>9</v>
      </c>
      <c r="I55" s="75" t="s">
        <v>859</v>
      </c>
      <c r="J55" s="75" t="str">
        <f t="shared" si="4"/>
        <v>FRENZIED RUSH</v>
      </c>
      <c r="K55" s="75" t="s">
        <v>505</v>
      </c>
      <c r="L55" s="75" t="str">
        <f t="shared" si="5"/>
        <v>Hiring this star costs 2 Skill Points.</v>
      </c>
      <c r="M55" s="75">
        <f t="shared" si="6"/>
        <v>2</v>
      </c>
      <c r="N55" s="75" t="s">
        <v>898</v>
      </c>
    </row>
    <row r="56" spans="1:14" x14ac:dyDescent="0.25">
      <c r="A56" s="75" t="s">
        <v>468</v>
      </c>
      <c r="B56" s="75" t="s">
        <v>837</v>
      </c>
      <c r="C56" s="93">
        <v>150</v>
      </c>
      <c r="D56" s="93">
        <v>7</v>
      </c>
      <c r="E56" s="93">
        <v>2</v>
      </c>
      <c r="F56" s="93">
        <v>2</v>
      </c>
      <c r="G56" s="93">
        <v>2</v>
      </c>
      <c r="H56" s="93">
        <v>8</v>
      </c>
      <c r="I56" s="75" t="s">
        <v>860</v>
      </c>
      <c r="J56" s="75" t="str">
        <f t="shared" si="4"/>
        <v>SHOT TO NOTHING</v>
      </c>
      <c r="K56" s="75" t="s">
        <v>506</v>
      </c>
      <c r="L56" s="75" t="str">
        <f t="shared" si="5"/>
        <v>Hiring this star costs 2 Skill Points.</v>
      </c>
      <c r="M56" s="75">
        <f t="shared" si="6"/>
        <v>2</v>
      </c>
      <c r="N56" s="75" t="s">
        <v>898</v>
      </c>
    </row>
    <row r="57" spans="1:14" x14ac:dyDescent="0.25">
      <c r="A57" s="75" t="s">
        <v>906</v>
      </c>
      <c r="B57" s="75" t="s">
        <v>165</v>
      </c>
      <c r="C57" s="93">
        <v>270</v>
      </c>
      <c r="D57" s="93">
        <v>6</v>
      </c>
      <c r="E57" s="93">
        <v>6</v>
      </c>
      <c r="F57" s="93">
        <v>5</v>
      </c>
      <c r="G57" s="93" t="s">
        <v>14</v>
      </c>
      <c r="H57" s="93">
        <v>10</v>
      </c>
      <c r="I57" s="75" t="s">
        <v>907</v>
      </c>
      <c r="J57" s="75" t="str">
        <f t="shared" si="4"/>
        <v>PRIMAL SAVAGERY</v>
      </c>
      <c r="K57" s="75" t="s">
        <v>908</v>
      </c>
      <c r="L57" s="75" t="str">
        <f t="shared" si="5"/>
        <v>Hiring this star costs 3 Skill Points.</v>
      </c>
      <c r="M57" s="75">
        <f t="shared" si="6"/>
        <v>3</v>
      </c>
      <c r="N57" s="75" t="s">
        <v>898</v>
      </c>
    </row>
    <row r="58" spans="1:14" x14ac:dyDescent="0.25">
      <c r="A58" s="75" t="s">
        <v>484</v>
      </c>
      <c r="B58" s="75" t="s">
        <v>841</v>
      </c>
      <c r="C58" s="93">
        <v>125</v>
      </c>
      <c r="D58" s="210">
        <v>5</v>
      </c>
      <c r="E58" s="93">
        <v>5</v>
      </c>
      <c r="F58" s="93">
        <v>4</v>
      </c>
      <c r="G58" s="93">
        <v>4</v>
      </c>
      <c r="H58" s="93">
        <v>10</v>
      </c>
      <c r="I58" s="75" t="s">
        <v>861</v>
      </c>
      <c r="J58" s="75" t="str">
        <f t="shared" si="4"/>
        <v>TWO FOR ONE (1)</v>
      </c>
      <c r="K58" s="75" t="s">
        <v>507</v>
      </c>
      <c r="L58" s="75" t="str">
        <f t="shared" si="5"/>
        <v>Hiring this star costs 2 Skill Points.</v>
      </c>
      <c r="M58" s="75">
        <f t="shared" si="6"/>
        <v>2</v>
      </c>
      <c r="N58" s="75" t="s">
        <v>898</v>
      </c>
    </row>
    <row r="59" spans="1:14" x14ac:dyDescent="0.25">
      <c r="A59" s="75" t="s">
        <v>485</v>
      </c>
      <c r="B59" s="75" t="s">
        <v>841</v>
      </c>
      <c r="C59" s="93">
        <v>125</v>
      </c>
      <c r="D59" s="93">
        <v>5</v>
      </c>
      <c r="E59" s="93">
        <v>2</v>
      </c>
      <c r="F59" s="93">
        <v>3</v>
      </c>
      <c r="G59" s="93">
        <v>6</v>
      </c>
      <c r="H59" s="93">
        <v>7</v>
      </c>
      <c r="I59" s="75" t="s">
        <v>862</v>
      </c>
      <c r="J59" s="75" t="str">
        <f t="shared" si="4"/>
        <v>TWO FOR ONE (2)</v>
      </c>
      <c r="K59" s="75" t="s">
        <v>508</v>
      </c>
      <c r="L59" s="75" t="str">
        <f t="shared" si="5"/>
        <v>Hiring this star costs 2 Skill Points.</v>
      </c>
      <c r="M59" s="75">
        <f t="shared" si="6"/>
        <v>2</v>
      </c>
      <c r="N59" s="75" t="s">
        <v>898</v>
      </c>
    </row>
    <row r="60" spans="1:14" x14ac:dyDescent="0.25">
      <c r="A60" s="75" t="s">
        <v>802</v>
      </c>
      <c r="B60" s="75" t="s">
        <v>171</v>
      </c>
      <c r="C60" s="93">
        <v>240</v>
      </c>
      <c r="D60" s="93">
        <v>6</v>
      </c>
      <c r="E60" s="93">
        <v>6</v>
      </c>
      <c r="F60" s="93">
        <v>4</v>
      </c>
      <c r="G60" s="210" t="s">
        <v>14</v>
      </c>
      <c r="H60" s="93">
        <v>9</v>
      </c>
      <c r="I60" s="75" t="s">
        <v>863</v>
      </c>
      <c r="J60" s="75" t="str">
        <f t="shared" si="4"/>
        <v>GORED BY THE BULL</v>
      </c>
      <c r="K60" s="75" t="s">
        <v>803</v>
      </c>
      <c r="L60" s="75" t="str">
        <f t="shared" si="5"/>
        <v>Hiring this star costs 3 Skill Points.</v>
      </c>
      <c r="M60" s="75">
        <f t="shared" si="6"/>
        <v>3</v>
      </c>
      <c r="N60" s="75" t="s">
        <v>898</v>
      </c>
    </row>
    <row r="61" spans="1:14" x14ac:dyDescent="0.25">
      <c r="A61" s="75" t="s">
        <v>763</v>
      </c>
      <c r="B61" s="75" t="s">
        <v>166</v>
      </c>
      <c r="C61" s="93">
        <v>260</v>
      </c>
      <c r="D61" s="93">
        <v>7</v>
      </c>
      <c r="E61" s="93">
        <v>3</v>
      </c>
      <c r="F61" s="93">
        <v>2</v>
      </c>
      <c r="G61" s="210" t="s">
        <v>14</v>
      </c>
      <c r="H61" s="93">
        <v>9</v>
      </c>
      <c r="I61" s="75" t="s">
        <v>864</v>
      </c>
      <c r="J61" s="75" t="str">
        <f t="shared" si="4"/>
        <v>INCORPOREAL</v>
      </c>
      <c r="K61" s="75" t="s">
        <v>762</v>
      </c>
      <c r="L61" s="75" t="str">
        <f t="shared" si="5"/>
        <v>Hiring this star costs 3 Skill Points.</v>
      </c>
      <c r="M61" s="75">
        <f t="shared" si="6"/>
        <v>3</v>
      </c>
      <c r="N61" s="75" t="s">
        <v>898</v>
      </c>
    </row>
    <row r="62" spans="1:14" x14ac:dyDescent="0.25">
      <c r="A62" s="75" t="s">
        <v>470</v>
      </c>
      <c r="B62" s="75" t="s">
        <v>838</v>
      </c>
      <c r="C62" s="93">
        <v>200</v>
      </c>
      <c r="D62" s="93">
        <v>5</v>
      </c>
      <c r="E62" s="93">
        <v>4</v>
      </c>
      <c r="F62" s="93">
        <v>3</v>
      </c>
      <c r="G62" s="210" t="s">
        <v>14</v>
      </c>
      <c r="H62" s="93">
        <v>9</v>
      </c>
      <c r="I62" s="75" t="s">
        <v>866</v>
      </c>
      <c r="J62" s="75" t="str">
        <f t="shared" si="4"/>
        <v>SLAYER</v>
      </c>
      <c r="K62" s="75" t="s">
        <v>510</v>
      </c>
      <c r="L62" s="75" t="str">
        <f t="shared" si="5"/>
        <v>Hiring this star costs 3 Skill Points.</v>
      </c>
      <c r="M62" s="75">
        <f t="shared" si="6"/>
        <v>3</v>
      </c>
      <c r="N62" s="75" t="s">
        <v>898</v>
      </c>
    </row>
    <row r="63" spans="1:14" x14ac:dyDescent="0.25">
      <c r="A63" s="75" t="s">
        <v>479</v>
      </c>
      <c r="B63" s="75" t="s">
        <v>839</v>
      </c>
      <c r="C63" s="93">
        <v>210</v>
      </c>
      <c r="D63" s="93">
        <v>5</v>
      </c>
      <c r="E63" s="93">
        <v>3</v>
      </c>
      <c r="F63" s="93">
        <v>3</v>
      </c>
      <c r="G63" s="93">
        <v>4</v>
      </c>
      <c r="H63" s="93">
        <v>10</v>
      </c>
      <c r="I63" s="75" t="s">
        <v>867</v>
      </c>
      <c r="J63" s="75" t="str">
        <f t="shared" si="4"/>
        <v>WISDOM OF THE WHITE DWARF</v>
      </c>
      <c r="K63" s="75" t="s">
        <v>511</v>
      </c>
      <c r="L63" s="75" t="str">
        <f t="shared" si="5"/>
        <v>Hiring this star costs 3 Skill Points.</v>
      </c>
      <c r="M63" s="75">
        <f t="shared" si="6"/>
        <v>3</v>
      </c>
      <c r="N63" s="75" t="s">
        <v>898</v>
      </c>
    </row>
    <row r="64" spans="1:14" x14ac:dyDescent="0.25">
      <c r="A64" s="75" t="s">
        <v>472</v>
      </c>
      <c r="B64" s="75" t="s">
        <v>841</v>
      </c>
      <c r="C64" s="93">
        <v>140</v>
      </c>
      <c r="D64" s="93">
        <v>6</v>
      </c>
      <c r="E64" s="210">
        <v>3</v>
      </c>
      <c r="F64" s="93">
        <v>3</v>
      </c>
      <c r="G64" s="210" t="s">
        <v>14</v>
      </c>
      <c r="H64" s="93">
        <v>9</v>
      </c>
      <c r="I64" s="75" t="s">
        <v>869</v>
      </c>
      <c r="J64" s="75" t="str">
        <f t="shared" si="4"/>
        <v>OLD PRO</v>
      </c>
      <c r="K64" s="75" t="s">
        <v>513</v>
      </c>
      <c r="L64" s="75" t="str">
        <f t="shared" si="5"/>
        <v>Hiring this star costs 2 Skill Points.</v>
      </c>
      <c r="M64" s="75">
        <f t="shared" si="6"/>
        <v>2</v>
      </c>
      <c r="N64" s="75" t="s">
        <v>898</v>
      </c>
    </row>
    <row r="65" spans="1:14" x14ac:dyDescent="0.25">
      <c r="A65" s="75" t="s">
        <v>915</v>
      </c>
      <c r="B65" s="75" t="s">
        <v>166</v>
      </c>
      <c r="C65" s="93">
        <v>190</v>
      </c>
      <c r="D65" s="93">
        <v>6</v>
      </c>
      <c r="E65" s="210">
        <v>4</v>
      </c>
      <c r="F65" s="93">
        <v>4</v>
      </c>
      <c r="G65" s="210">
        <v>5</v>
      </c>
      <c r="H65" s="93">
        <v>9</v>
      </c>
      <c r="I65" s="75" t="s">
        <v>917</v>
      </c>
      <c r="J65" s="75" t="str">
        <f t="shared" si="4"/>
        <v>DWARFEN SCOURGE</v>
      </c>
      <c r="K65" s="75" t="s">
        <v>916</v>
      </c>
      <c r="L65" s="75" t="str">
        <f t="shared" si="5"/>
        <v>Hiring this star costs 2 Skill Points.</v>
      </c>
      <c r="M65" s="75">
        <f t="shared" si="6"/>
        <v>2</v>
      </c>
      <c r="N65" s="75" t="s">
        <v>898</v>
      </c>
    </row>
    <row r="66" spans="1:14" x14ac:dyDescent="0.25">
      <c r="A66" s="75" t="s">
        <v>815</v>
      </c>
      <c r="B66" s="75" t="s">
        <v>162</v>
      </c>
      <c r="C66" s="93">
        <v>245</v>
      </c>
      <c r="D66" s="93">
        <v>6</v>
      </c>
      <c r="E66" s="210">
        <v>4</v>
      </c>
      <c r="F66" s="93">
        <v>3</v>
      </c>
      <c r="G66" s="210">
        <v>4</v>
      </c>
      <c r="H66" s="93">
        <v>9</v>
      </c>
      <c r="I66" s="75" t="s">
        <v>870</v>
      </c>
      <c r="J66" s="75" t="str">
        <f t="shared" si="4"/>
        <v>RAIDING PARTY!</v>
      </c>
      <c r="K66" s="75" t="s">
        <v>1060</v>
      </c>
      <c r="L66" s="75" t="str">
        <f t="shared" si="5"/>
        <v>Hiring this star costs 3 Skill Points.</v>
      </c>
      <c r="M66" s="75">
        <f t="shared" si="6"/>
        <v>3</v>
      </c>
      <c r="N66" s="75" t="s">
        <v>898</v>
      </c>
    </row>
    <row r="67" spans="1:14" x14ac:dyDescent="0.25">
      <c r="A67" s="75" t="s">
        <v>602</v>
      </c>
      <c r="B67" s="75" t="s">
        <v>840</v>
      </c>
      <c r="C67" s="93">
        <v>210</v>
      </c>
      <c r="D67" s="93">
        <v>6</v>
      </c>
      <c r="E67" s="93">
        <v>4</v>
      </c>
      <c r="F67" s="93">
        <v>3</v>
      </c>
      <c r="G67" s="93">
        <v>4</v>
      </c>
      <c r="H67" s="93">
        <v>9</v>
      </c>
      <c r="I67" s="75" t="s">
        <v>871</v>
      </c>
      <c r="J67" s="75" t="str">
        <f t="shared" si="4"/>
        <v>INDOMITABLE</v>
      </c>
      <c r="K67" s="75" t="s">
        <v>514</v>
      </c>
      <c r="L67" s="75" t="str">
        <f t="shared" si="5"/>
        <v>Hiring this star costs 3 Skill Points.</v>
      </c>
      <c r="M67" s="75">
        <f t="shared" si="6"/>
        <v>3</v>
      </c>
      <c r="N67" s="75" t="s">
        <v>898</v>
      </c>
    </row>
    <row r="68" spans="1:14" x14ac:dyDescent="0.25">
      <c r="A68" s="75" t="s">
        <v>918</v>
      </c>
      <c r="B68" s="75" t="s">
        <v>160</v>
      </c>
      <c r="C68" s="93">
        <v>160</v>
      </c>
      <c r="D68" s="93">
        <v>7</v>
      </c>
      <c r="E68" s="93">
        <v>3</v>
      </c>
      <c r="F68" s="93">
        <v>2</v>
      </c>
      <c r="G68" s="93">
        <v>3</v>
      </c>
      <c r="H68" s="93">
        <v>9</v>
      </c>
      <c r="I68" s="75" t="s">
        <v>919</v>
      </c>
      <c r="J68" s="75" t="str">
        <f t="shared" si="4"/>
        <v>BLACK INK</v>
      </c>
      <c r="K68" s="75" t="s">
        <v>920</v>
      </c>
      <c r="L68" s="75" t="str">
        <f t="shared" si="5"/>
        <v>Hiring this star costs 2 Skill Points.</v>
      </c>
      <c r="M68" s="75">
        <f t="shared" si="6"/>
        <v>2</v>
      </c>
      <c r="N68" s="75" t="s">
        <v>898</v>
      </c>
    </row>
    <row r="69" spans="1:14" x14ac:dyDescent="0.25">
      <c r="A69" s="75" t="s">
        <v>473</v>
      </c>
      <c r="B69" s="75" t="s">
        <v>171</v>
      </c>
      <c r="C69" s="93">
        <v>260</v>
      </c>
      <c r="D69" s="93">
        <v>5</v>
      </c>
      <c r="E69" s="93">
        <v>5</v>
      </c>
      <c r="F69" s="93">
        <v>3</v>
      </c>
      <c r="G69" s="93">
        <v>5</v>
      </c>
      <c r="H69" s="93">
        <v>10</v>
      </c>
      <c r="I69" s="75" t="s">
        <v>872</v>
      </c>
      <c r="J69" s="75" t="str">
        <f t="shared" si="4"/>
        <v>LORD OF CHAOS</v>
      </c>
      <c r="K69" s="75" t="s">
        <v>515</v>
      </c>
      <c r="L69" s="75" t="str">
        <f t="shared" si="5"/>
        <v>Hiring this star costs 3 Skill Points.</v>
      </c>
      <c r="M69" s="75">
        <f t="shared" si="6"/>
        <v>3</v>
      </c>
      <c r="N69" s="75" t="s">
        <v>898</v>
      </c>
    </row>
    <row r="70" spans="1:14" x14ac:dyDescent="0.25">
      <c r="A70" s="75" t="s">
        <v>757</v>
      </c>
      <c r="B70" s="75" t="s">
        <v>809</v>
      </c>
      <c r="C70" s="93">
        <v>130</v>
      </c>
      <c r="D70" s="93">
        <v>5</v>
      </c>
      <c r="E70" s="93">
        <v>4</v>
      </c>
      <c r="F70" s="93">
        <v>4</v>
      </c>
      <c r="G70" s="93" t="s">
        <v>14</v>
      </c>
      <c r="H70" s="93">
        <v>9</v>
      </c>
      <c r="I70" s="75" t="s">
        <v>758</v>
      </c>
      <c r="J70" s="75" t="str">
        <f t="shared" si="4"/>
        <v>MAXIMUM CARNAGE</v>
      </c>
      <c r="K70" s="75" t="s">
        <v>759</v>
      </c>
      <c r="L70" s="75" t="str">
        <f t="shared" si="5"/>
        <v>Hiring this star costs 2 Skill Points.</v>
      </c>
      <c r="M70" s="75">
        <f t="shared" si="6"/>
        <v>2</v>
      </c>
      <c r="N70" s="75" t="s">
        <v>898</v>
      </c>
    </row>
    <row r="71" spans="1:14" x14ac:dyDescent="0.25">
      <c r="A71" s="75" t="s">
        <v>474</v>
      </c>
      <c r="B71" s="75" t="s">
        <v>840</v>
      </c>
      <c r="C71" s="93">
        <v>220</v>
      </c>
      <c r="D71" s="93">
        <v>4</v>
      </c>
      <c r="E71" s="93">
        <v>5</v>
      </c>
      <c r="F71" s="93">
        <v>4</v>
      </c>
      <c r="G71" s="93">
        <v>6</v>
      </c>
      <c r="H71" s="93">
        <v>10</v>
      </c>
      <c r="I71" s="75" t="s">
        <v>873</v>
      </c>
      <c r="J71" s="75" t="str">
        <f t="shared" si="4"/>
        <v>CRUSHING BLOW</v>
      </c>
      <c r="K71" s="75" t="s">
        <v>603</v>
      </c>
      <c r="L71" s="75" t="str">
        <f t="shared" si="5"/>
        <v>Hiring this star costs 3 Skill Points.</v>
      </c>
      <c r="M71" s="75">
        <f t="shared" si="6"/>
        <v>3</v>
      </c>
      <c r="N71" s="75" t="s">
        <v>898</v>
      </c>
    </row>
    <row r="72" spans="1:14" x14ac:dyDescent="0.25">
      <c r="A72" s="75" t="s">
        <v>921</v>
      </c>
      <c r="B72" s="75" t="s">
        <v>482</v>
      </c>
      <c r="C72" s="93">
        <v>120</v>
      </c>
      <c r="D72" s="93">
        <v>6</v>
      </c>
      <c r="E72" s="93">
        <v>2</v>
      </c>
      <c r="F72" s="93">
        <v>3</v>
      </c>
      <c r="G72" s="93" t="s">
        <v>14</v>
      </c>
      <c r="H72" s="93">
        <v>8</v>
      </c>
      <c r="I72" s="75" t="s">
        <v>927</v>
      </c>
      <c r="J72" s="75" t="str">
        <f t="shared" si="4"/>
        <v>KICK ’EM WHILE THEY'RE DOWN!</v>
      </c>
      <c r="K72" s="75" t="s">
        <v>924</v>
      </c>
      <c r="L72" s="75" t="str">
        <f t="shared" si="5"/>
        <v>Hiring this star costs 2 Skill Points.</v>
      </c>
      <c r="M72" s="75">
        <f t="shared" si="6"/>
        <v>2</v>
      </c>
      <c r="N72" s="75" t="s">
        <v>898</v>
      </c>
    </row>
    <row r="73" spans="1:14" x14ac:dyDescent="0.25">
      <c r="A73" s="75" t="s">
        <v>922</v>
      </c>
      <c r="B73" s="75" t="s">
        <v>820</v>
      </c>
      <c r="C73" s="93">
        <v>120</v>
      </c>
      <c r="D73" s="93">
        <v>5</v>
      </c>
      <c r="E73" s="93">
        <v>3</v>
      </c>
      <c r="F73" s="93">
        <v>3</v>
      </c>
      <c r="G73" s="93">
        <v>4</v>
      </c>
      <c r="H73" s="93">
        <v>7</v>
      </c>
      <c r="I73" s="75" t="s">
        <v>928</v>
      </c>
      <c r="J73" s="75" t="str">
        <f t="shared" si="4"/>
        <v>HALFLING LUCK</v>
      </c>
      <c r="K73" s="75" t="s">
        <v>925</v>
      </c>
      <c r="L73" s="75" t="str">
        <f t="shared" si="5"/>
        <v>Hiring this star costs 2 Skill Points.</v>
      </c>
      <c r="M73" s="75">
        <f t="shared" si="6"/>
        <v>2</v>
      </c>
      <c r="N73" s="75" t="s">
        <v>898</v>
      </c>
    </row>
    <row r="74" spans="1:14" x14ac:dyDescent="0.25">
      <c r="A74" s="75" t="s">
        <v>923</v>
      </c>
      <c r="B74" s="75" t="s">
        <v>482</v>
      </c>
      <c r="C74" s="93">
        <v>250</v>
      </c>
      <c r="D74" s="93">
        <v>4</v>
      </c>
      <c r="E74" s="93">
        <v>6</v>
      </c>
      <c r="F74" s="93">
        <v>5</v>
      </c>
      <c r="G74" s="93">
        <v>4</v>
      </c>
      <c r="H74" s="93">
        <v>10</v>
      </c>
      <c r="I74" s="75" t="s">
        <v>929</v>
      </c>
      <c r="J74" s="75" t="str">
        <f t="shared" si="4"/>
        <v>THINKING MAN'S TROLL</v>
      </c>
      <c r="K74" s="75" t="s">
        <v>926</v>
      </c>
      <c r="L74" s="75" t="str">
        <f t="shared" si="5"/>
        <v>Hiring this star costs 3 Skill Points.</v>
      </c>
      <c r="M74" s="75">
        <f t="shared" si="6"/>
        <v>3</v>
      </c>
      <c r="N74" s="75" t="s">
        <v>898</v>
      </c>
    </row>
    <row r="75" spans="1:14" x14ac:dyDescent="0.25">
      <c r="A75" s="75" t="s">
        <v>933</v>
      </c>
      <c r="B75" s="75" t="s">
        <v>160</v>
      </c>
      <c r="C75" s="93">
        <v>270</v>
      </c>
      <c r="D75" s="93">
        <v>8</v>
      </c>
      <c r="E75" s="93">
        <v>3</v>
      </c>
      <c r="F75" s="93">
        <v>1</v>
      </c>
      <c r="G75" s="93">
        <v>4</v>
      </c>
      <c r="H75" s="93">
        <v>8</v>
      </c>
      <c r="I75" s="75" t="s">
        <v>875</v>
      </c>
      <c r="J75" s="75" t="str">
        <f t="shared" si="4"/>
        <v>BURST OF SPEED</v>
      </c>
      <c r="K75" s="75" t="s">
        <v>611</v>
      </c>
      <c r="L75" s="75" t="str">
        <f t="shared" si="5"/>
        <v>Hiring this star costs 3 Skill Points.</v>
      </c>
      <c r="M75" s="75">
        <f t="shared" si="6"/>
        <v>3</v>
      </c>
      <c r="N75" s="75" t="s">
        <v>898</v>
      </c>
    </row>
    <row r="76" spans="1:14" x14ac:dyDescent="0.25">
      <c r="A76" s="75" t="s">
        <v>476</v>
      </c>
      <c r="B76" s="75" t="s">
        <v>838</v>
      </c>
      <c r="C76" s="93">
        <v>170</v>
      </c>
      <c r="D76" s="93">
        <v>6</v>
      </c>
      <c r="E76" s="93">
        <v>3</v>
      </c>
      <c r="F76" s="93">
        <v>3</v>
      </c>
      <c r="G76" s="210" t="s">
        <v>14</v>
      </c>
      <c r="H76" s="93">
        <v>8</v>
      </c>
      <c r="I76" s="75" t="s">
        <v>876</v>
      </c>
      <c r="J76" s="75" t="str">
        <f t="shared" si="4"/>
        <v>RAM</v>
      </c>
      <c r="K76" s="75" t="s">
        <v>612</v>
      </c>
      <c r="L76" s="75" t="str">
        <f t="shared" si="5"/>
        <v>Hiring this star costs 2 Skill Points.</v>
      </c>
      <c r="M76" s="75">
        <f t="shared" si="6"/>
        <v>2</v>
      </c>
      <c r="N76" s="75" t="s">
        <v>898</v>
      </c>
    </row>
    <row r="77" spans="1:14" x14ac:dyDescent="0.25">
      <c r="A77" s="75" t="s">
        <v>937</v>
      </c>
      <c r="B77" s="75" t="s">
        <v>482</v>
      </c>
      <c r="C77" s="93">
        <v>130</v>
      </c>
      <c r="D77" s="93">
        <v>7</v>
      </c>
      <c r="E77" s="93">
        <v>2</v>
      </c>
      <c r="F77" s="93">
        <v>3</v>
      </c>
      <c r="G77" s="210">
        <v>5</v>
      </c>
      <c r="H77" s="93">
        <v>8</v>
      </c>
      <c r="I77" s="75" t="s">
        <v>938</v>
      </c>
      <c r="J77" s="75" t="str">
        <f t="shared" si="4"/>
        <v>YOINK!</v>
      </c>
      <c r="K77" s="75" t="s">
        <v>939</v>
      </c>
      <c r="L77" s="75" t="str">
        <f t="shared" si="5"/>
        <v>Hiring this star costs 2 Skill Points.</v>
      </c>
      <c r="M77" s="75">
        <f t="shared" si="6"/>
        <v>2</v>
      </c>
      <c r="N77" s="75" t="s">
        <v>898</v>
      </c>
    </row>
    <row r="78" spans="1:14" x14ac:dyDescent="0.25">
      <c r="A78" s="75" t="s">
        <v>805</v>
      </c>
      <c r="B78" s="75" t="s">
        <v>809</v>
      </c>
      <c r="C78" s="93">
        <v>200</v>
      </c>
      <c r="D78" s="93">
        <v>5</v>
      </c>
      <c r="E78" s="93">
        <v>5</v>
      </c>
      <c r="F78" s="93">
        <v>4</v>
      </c>
      <c r="G78" s="210" t="s">
        <v>14</v>
      </c>
      <c r="H78" s="93">
        <v>10</v>
      </c>
      <c r="I78" s="75" t="s">
        <v>877</v>
      </c>
      <c r="J78" s="75" t="str">
        <f t="shared" si="4"/>
        <v>FURY OF THE BLOOD GOD</v>
      </c>
      <c r="K78" s="75" t="s">
        <v>807</v>
      </c>
      <c r="L78" s="75" t="str">
        <f t="shared" si="5"/>
        <v>Hiring this star costs 3 Skill Points.</v>
      </c>
      <c r="M78" s="75">
        <f t="shared" si="6"/>
        <v>3</v>
      </c>
      <c r="N78" s="75" t="s">
        <v>898</v>
      </c>
    </row>
    <row r="79" spans="1:14" x14ac:dyDescent="0.25">
      <c r="A79" s="75" t="s">
        <v>806</v>
      </c>
      <c r="B79" s="75" t="s">
        <v>162</v>
      </c>
      <c r="C79" s="93">
        <v>250</v>
      </c>
      <c r="D79" s="93">
        <v>5</v>
      </c>
      <c r="E79" s="93">
        <v>5</v>
      </c>
      <c r="F79" s="93">
        <v>4</v>
      </c>
      <c r="G79" s="210" t="s">
        <v>14</v>
      </c>
      <c r="H79" s="93">
        <v>9</v>
      </c>
      <c r="I79" s="75" t="s">
        <v>878</v>
      </c>
      <c r="J79" s="75" t="str">
        <f t="shared" si="4"/>
        <v>PUMP UP THE CROWD</v>
      </c>
      <c r="K79" s="75" t="s">
        <v>813</v>
      </c>
      <c r="L79" s="75" t="str">
        <f t="shared" si="5"/>
        <v>Hiring this star costs 3 Skill Points.</v>
      </c>
      <c r="M79" s="75">
        <f t="shared" si="6"/>
        <v>3</v>
      </c>
      <c r="N79" s="75" t="s">
        <v>898</v>
      </c>
    </row>
    <row r="80" spans="1:14" x14ac:dyDescent="0.25">
      <c r="A80" s="75" t="s">
        <v>477</v>
      </c>
      <c r="B80" s="75" t="s">
        <v>843</v>
      </c>
      <c r="C80" s="93">
        <v>150</v>
      </c>
      <c r="D80" s="93">
        <v>6</v>
      </c>
      <c r="E80" s="93">
        <v>3</v>
      </c>
      <c r="F80" s="93">
        <v>4</v>
      </c>
      <c r="G80" s="93">
        <v>4</v>
      </c>
      <c r="H80" s="93">
        <v>9</v>
      </c>
      <c r="I80" s="75" t="s">
        <v>879</v>
      </c>
      <c r="J80" s="75" t="str">
        <f t="shared" si="4"/>
        <v>STRONG PASSING GAME</v>
      </c>
      <c r="K80" s="75" t="s">
        <v>517</v>
      </c>
      <c r="L80" s="75" t="str">
        <f t="shared" si="5"/>
        <v>Hiring this star costs 2 Skill Points.</v>
      </c>
      <c r="M80" s="75">
        <f t="shared" si="6"/>
        <v>2</v>
      </c>
      <c r="N80" s="75" t="s">
        <v>898</v>
      </c>
    </row>
    <row r="81" spans="1:14" x14ac:dyDescent="0.25">
      <c r="A81" s="75" t="s">
        <v>486</v>
      </c>
      <c r="B81" s="75" t="s">
        <v>160</v>
      </c>
      <c r="C81" s="93">
        <v>170</v>
      </c>
      <c r="D81" s="93">
        <v>7</v>
      </c>
      <c r="E81" s="93">
        <v>3</v>
      </c>
      <c r="F81" s="93">
        <v>2</v>
      </c>
      <c r="G81" s="93">
        <v>5</v>
      </c>
      <c r="H81" s="93">
        <v>9</v>
      </c>
      <c r="I81" s="75" t="s">
        <v>880</v>
      </c>
      <c r="J81" s="75" t="str">
        <f t="shared" si="4"/>
        <v>TWO FOR ONE (1)</v>
      </c>
      <c r="K81" s="75" t="s">
        <v>518</v>
      </c>
      <c r="L81" s="75" t="str">
        <f t="shared" si="5"/>
        <v>Hiring this star costs 2 Skill Points.</v>
      </c>
      <c r="M81" s="75">
        <f t="shared" si="6"/>
        <v>2</v>
      </c>
      <c r="N81" s="75" t="s">
        <v>898</v>
      </c>
    </row>
    <row r="82" spans="1:14" x14ac:dyDescent="0.25">
      <c r="A82" s="75" t="s">
        <v>487</v>
      </c>
      <c r="B82" s="75" t="s">
        <v>160</v>
      </c>
      <c r="C82" s="93">
        <v>170</v>
      </c>
      <c r="D82" s="93">
        <v>7</v>
      </c>
      <c r="E82" s="93">
        <v>3</v>
      </c>
      <c r="F82" s="93">
        <v>2</v>
      </c>
      <c r="G82" s="93">
        <v>2</v>
      </c>
      <c r="H82" s="93">
        <v>8</v>
      </c>
      <c r="I82" s="75" t="s">
        <v>881</v>
      </c>
      <c r="J82" s="75" t="str">
        <f t="shared" si="4"/>
        <v>TWO FOR ONE (2)</v>
      </c>
      <c r="K82" s="75" t="s">
        <v>519</v>
      </c>
      <c r="L82" s="75" t="str">
        <f t="shared" si="5"/>
        <v>Hiring this star costs 2 Skill Points.</v>
      </c>
      <c r="M82" s="75">
        <f t="shared" si="6"/>
        <v>2</v>
      </c>
      <c r="N82" s="75" t="s">
        <v>898</v>
      </c>
    </row>
    <row r="83" spans="1:14" x14ac:dyDescent="0.25">
      <c r="A83" s="75" t="s">
        <v>464</v>
      </c>
      <c r="B83" s="75" t="s">
        <v>482</v>
      </c>
      <c r="C83" s="93">
        <v>225</v>
      </c>
      <c r="D83" s="93">
        <v>6</v>
      </c>
      <c r="E83" s="93">
        <v>2</v>
      </c>
      <c r="F83" s="93">
        <v>3</v>
      </c>
      <c r="G83" s="93">
        <v>3</v>
      </c>
      <c r="H83" s="93">
        <v>9</v>
      </c>
      <c r="I83" s="75" t="s">
        <v>882</v>
      </c>
      <c r="J83" s="75" t="str">
        <f t="shared" si="4"/>
        <v>SNEAKIEST OF THE LOT</v>
      </c>
      <c r="K83" s="75" t="s">
        <v>613</v>
      </c>
      <c r="L83" s="75" t="str">
        <f t="shared" si="5"/>
        <v>Hiring this star costs 3 Skill Points.</v>
      </c>
      <c r="M83" s="75">
        <f t="shared" si="6"/>
        <v>3</v>
      </c>
      <c r="N83" s="75" t="s">
        <v>898</v>
      </c>
    </row>
    <row r="84" spans="1:14" x14ac:dyDescent="0.25">
      <c r="A84" s="75" t="s">
        <v>814</v>
      </c>
      <c r="B84" s="75" t="s">
        <v>162</v>
      </c>
      <c r="C84" s="93">
        <v>170</v>
      </c>
      <c r="D84" s="93">
        <v>6</v>
      </c>
      <c r="E84" s="93">
        <v>3</v>
      </c>
      <c r="F84" s="93">
        <v>4</v>
      </c>
      <c r="G84" s="93">
        <v>3</v>
      </c>
      <c r="H84" s="93">
        <v>8</v>
      </c>
      <c r="I84" s="75" t="s">
        <v>883</v>
      </c>
      <c r="J84" s="75" t="str">
        <f t="shared" si="4"/>
        <v>BEER BARREL BASH!</v>
      </c>
      <c r="K84" s="75" t="s">
        <v>845</v>
      </c>
      <c r="L84" s="75" t="str">
        <f t="shared" si="5"/>
        <v>Hiring this star costs 2 Skill Points.</v>
      </c>
      <c r="M84" s="75">
        <f t="shared" si="6"/>
        <v>2</v>
      </c>
      <c r="N84" s="75" t="s">
        <v>898</v>
      </c>
    </row>
    <row r="85" spans="1:14" x14ac:dyDescent="0.25">
      <c r="A85" s="75" t="s">
        <v>595</v>
      </c>
      <c r="B85" s="75" t="s">
        <v>166</v>
      </c>
      <c r="C85" s="93">
        <v>220</v>
      </c>
      <c r="D85" s="93">
        <v>8</v>
      </c>
      <c r="E85" s="93">
        <v>4</v>
      </c>
      <c r="F85" s="93">
        <v>3</v>
      </c>
      <c r="G85" s="93">
        <v>4</v>
      </c>
      <c r="H85" s="93">
        <v>9</v>
      </c>
      <c r="I85" s="75" t="s">
        <v>885</v>
      </c>
      <c r="J85" s="75" t="str">
        <f t="shared" si="4"/>
        <v>SAVAGE MAULING</v>
      </c>
      <c r="K85" s="75" t="s">
        <v>596</v>
      </c>
      <c r="L85" s="75" t="str">
        <f t="shared" si="5"/>
        <v>Hiring this star costs 3 Skill Points.</v>
      </c>
      <c r="M85" s="75">
        <f t="shared" si="6"/>
        <v>3</v>
      </c>
      <c r="N85" s="75" t="s">
        <v>898</v>
      </c>
    </row>
    <row r="86" spans="1:14" x14ac:dyDescent="0.25">
      <c r="A86" s="75" t="s">
        <v>480</v>
      </c>
      <c r="B86" s="75" t="s">
        <v>160</v>
      </c>
      <c r="C86" s="93">
        <v>150</v>
      </c>
      <c r="D86" s="93">
        <v>5</v>
      </c>
      <c r="E86" s="93">
        <v>4</v>
      </c>
      <c r="F86" s="93">
        <v>3</v>
      </c>
      <c r="G86" s="93">
        <v>6</v>
      </c>
      <c r="H86" s="93">
        <v>9</v>
      </c>
      <c r="I86" s="75" t="s">
        <v>886</v>
      </c>
      <c r="J86" s="75" t="str">
        <f t="shared" si="4"/>
        <v>INDOMITABLE</v>
      </c>
      <c r="K86" s="75" t="s">
        <v>520</v>
      </c>
      <c r="L86" s="75" t="str">
        <f t="shared" si="5"/>
        <v>Hiring this star costs 2 Skill Points.</v>
      </c>
      <c r="M86" s="75">
        <f t="shared" si="6"/>
        <v>2</v>
      </c>
      <c r="N86" s="75" t="s">
        <v>898</v>
      </c>
    </row>
    <row r="87" spans="1:14" x14ac:dyDescent="0.25">
      <c r="A87" s="75" t="s">
        <v>943</v>
      </c>
      <c r="B87" s="75" t="s">
        <v>171</v>
      </c>
      <c r="C87" s="93">
        <v>170</v>
      </c>
      <c r="D87" s="93">
        <v>6</v>
      </c>
      <c r="E87" s="93">
        <v>3</v>
      </c>
      <c r="F87" s="93">
        <v>4</v>
      </c>
      <c r="G87" s="93">
        <v>4</v>
      </c>
      <c r="H87" s="93">
        <v>9</v>
      </c>
      <c r="I87" s="75" t="s">
        <v>944</v>
      </c>
      <c r="J87" s="75" t="str">
        <f t="shared" si="4"/>
        <v>WATCH OUT!</v>
      </c>
      <c r="K87" s="75" t="s">
        <v>945</v>
      </c>
      <c r="L87" s="75" t="str">
        <f t="shared" si="5"/>
        <v>Hiring this star costs 2 Skill Points.</v>
      </c>
      <c r="M87" s="75">
        <f t="shared" si="6"/>
        <v>2</v>
      </c>
      <c r="N87" s="75" t="s">
        <v>898</v>
      </c>
    </row>
    <row r="88" spans="1:14" x14ac:dyDescent="0.25">
      <c r="A88" s="75" t="s">
        <v>481</v>
      </c>
      <c r="B88" s="75" t="s">
        <v>844</v>
      </c>
      <c r="C88" s="93">
        <v>230</v>
      </c>
      <c r="D88" s="93">
        <v>5</v>
      </c>
      <c r="E88" s="93">
        <v>5</v>
      </c>
      <c r="F88" s="93">
        <v>4</v>
      </c>
      <c r="G88" s="93">
        <v>5</v>
      </c>
      <c r="H88" s="93">
        <v>10</v>
      </c>
      <c r="I88" s="75" t="s">
        <v>887</v>
      </c>
      <c r="J88" s="75" t="str">
        <f t="shared" si="4"/>
        <v>"EXCUSE ME, ARE YOU A ZOAT?"</v>
      </c>
      <c r="K88" s="75" t="s">
        <v>521</v>
      </c>
      <c r="L88" s="75" t="str">
        <f t="shared" si="5"/>
        <v>Hiring this star costs 3 Skill Points.</v>
      </c>
      <c r="M88" s="75">
        <f t="shared" si="6"/>
        <v>3</v>
      </c>
      <c r="N88" s="75" t="s">
        <v>898</v>
      </c>
    </row>
    <row r="110" spans="1:1" x14ac:dyDescent="0.25">
      <c r="A110" s="4"/>
    </row>
    <row r="118" spans="1:1" x14ac:dyDescent="0.25">
      <c r="A118" s="4"/>
    </row>
    <row r="122" spans="1:1" x14ac:dyDescent="0.25">
      <c r="A122" s="4"/>
    </row>
  </sheetData>
  <sortState xmlns:xlrd2="http://schemas.microsoft.com/office/spreadsheetml/2017/richdata2" ref="X1:X26">
    <sortCondition ref="X1:X26"/>
  </sortState>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9">
    <tabColor rgb="FFFF0000"/>
  </sheetPr>
  <dimension ref="B1:N51"/>
  <sheetViews>
    <sheetView workbookViewId="0"/>
  </sheetViews>
  <sheetFormatPr defaultColWidth="11.42578125" defaultRowHeight="15" x14ac:dyDescent="0.25"/>
  <cols>
    <col min="2" max="2" width="18.5703125" bestFit="1" customWidth="1"/>
    <col min="4" max="7" width="11.42578125" style="115"/>
    <col min="8" max="8" width="15" style="115" bestFit="1" customWidth="1"/>
    <col min="9" max="9" width="11.42578125" style="115"/>
    <col min="11" max="11" width="16.140625" customWidth="1"/>
    <col min="13" max="13" width="24" bestFit="1" customWidth="1"/>
    <col min="14" max="14" width="255.7109375" bestFit="1" customWidth="1"/>
  </cols>
  <sheetData>
    <row r="1" spans="2:14" x14ac:dyDescent="0.25">
      <c r="B1" s="72" t="s">
        <v>706</v>
      </c>
      <c r="C1" s="72" t="s">
        <v>764</v>
      </c>
      <c r="D1" s="114" t="s">
        <v>946</v>
      </c>
      <c r="E1" s="114" t="s">
        <v>183</v>
      </c>
      <c r="F1" s="114" t="s">
        <v>184</v>
      </c>
      <c r="G1" s="114" t="s">
        <v>581</v>
      </c>
      <c r="H1" s="114" t="s">
        <v>719</v>
      </c>
      <c r="I1" s="114" t="s">
        <v>488</v>
      </c>
    </row>
    <row r="2" spans="2:14" x14ac:dyDescent="0.25">
      <c r="B2" t="s">
        <v>79</v>
      </c>
      <c r="C2" t="s">
        <v>104</v>
      </c>
      <c r="D2" s="115">
        <v>4</v>
      </c>
      <c r="E2" s="115">
        <v>0</v>
      </c>
      <c r="F2" s="115">
        <v>60</v>
      </c>
      <c r="G2" s="115" t="s">
        <v>582</v>
      </c>
      <c r="H2" s="115" t="s">
        <v>165</v>
      </c>
      <c r="I2" s="115">
        <v>2</v>
      </c>
      <c r="L2" t="s">
        <v>169</v>
      </c>
      <c r="M2" t="s">
        <v>168</v>
      </c>
      <c r="N2" t="s">
        <v>754</v>
      </c>
    </row>
    <row r="3" spans="2:14" x14ac:dyDescent="0.25">
      <c r="B3" t="s">
        <v>78</v>
      </c>
      <c r="C3" t="s">
        <v>111</v>
      </c>
      <c r="D3" s="115">
        <v>3</v>
      </c>
      <c r="E3" s="115">
        <v>0</v>
      </c>
      <c r="F3" s="115">
        <v>60</v>
      </c>
      <c r="G3" s="115" t="s">
        <v>582</v>
      </c>
      <c r="H3" s="115" t="s">
        <v>821</v>
      </c>
      <c r="I3" s="115">
        <v>5</v>
      </c>
      <c r="L3" t="s">
        <v>159</v>
      </c>
      <c r="M3" t="s">
        <v>154</v>
      </c>
    </row>
    <row r="4" spans="2:14" x14ac:dyDescent="0.25">
      <c r="B4" t="s">
        <v>80</v>
      </c>
      <c r="C4" t="s">
        <v>112</v>
      </c>
      <c r="D4" s="115">
        <v>5</v>
      </c>
      <c r="E4" s="115">
        <v>1</v>
      </c>
      <c r="F4" s="115">
        <v>60</v>
      </c>
      <c r="G4" s="115" t="s">
        <v>582</v>
      </c>
      <c r="H4" s="115" t="s">
        <v>171</v>
      </c>
      <c r="I4" s="115">
        <v>5</v>
      </c>
      <c r="L4" t="s">
        <v>160</v>
      </c>
      <c r="M4" t="s">
        <v>164</v>
      </c>
    </row>
    <row r="5" spans="2:14" x14ac:dyDescent="0.25">
      <c r="B5" t="s">
        <v>81</v>
      </c>
      <c r="C5" t="s">
        <v>105</v>
      </c>
      <c r="D5" s="115">
        <v>4</v>
      </c>
      <c r="E5" s="115">
        <v>0</v>
      </c>
      <c r="F5" s="115">
        <v>70</v>
      </c>
      <c r="G5" s="115" t="s">
        <v>582</v>
      </c>
      <c r="H5" s="115" t="s">
        <v>575</v>
      </c>
      <c r="I5" s="115">
        <v>1</v>
      </c>
      <c r="L5" t="s">
        <v>161</v>
      </c>
      <c r="M5" t="s">
        <v>155</v>
      </c>
      <c r="N5" t="s">
        <v>523</v>
      </c>
    </row>
    <row r="6" spans="2:14" x14ac:dyDescent="0.25">
      <c r="B6" t="s">
        <v>82</v>
      </c>
      <c r="C6" t="s">
        <v>113</v>
      </c>
      <c r="D6" s="115">
        <v>10</v>
      </c>
      <c r="E6" s="115">
        <v>3</v>
      </c>
      <c r="F6" s="115">
        <v>70</v>
      </c>
      <c r="G6" s="115" t="s">
        <v>582</v>
      </c>
      <c r="H6" s="115" t="s">
        <v>171</v>
      </c>
      <c r="I6" s="115">
        <v>4</v>
      </c>
      <c r="L6" t="s">
        <v>173</v>
      </c>
      <c r="M6" t="s">
        <v>174</v>
      </c>
      <c r="N6" t="s">
        <v>755</v>
      </c>
    </row>
    <row r="7" spans="2:14" x14ac:dyDescent="0.25">
      <c r="B7" t="s">
        <v>83</v>
      </c>
      <c r="C7" t="s">
        <v>114</v>
      </c>
      <c r="D7" s="115">
        <v>5</v>
      </c>
      <c r="E7" s="115">
        <v>0</v>
      </c>
      <c r="F7" s="115">
        <v>50</v>
      </c>
      <c r="G7" s="115" t="s">
        <v>582</v>
      </c>
      <c r="H7" s="115" t="s">
        <v>160</v>
      </c>
      <c r="I7" s="115">
        <v>1</v>
      </c>
      <c r="L7" t="s">
        <v>165</v>
      </c>
      <c r="M7" t="s">
        <v>156</v>
      </c>
    </row>
    <row r="8" spans="2:14" x14ac:dyDescent="0.25">
      <c r="B8" t="s">
        <v>84</v>
      </c>
      <c r="C8" t="s">
        <v>120</v>
      </c>
      <c r="D8" s="115">
        <v>5</v>
      </c>
      <c r="E8" s="115">
        <v>0</v>
      </c>
      <c r="F8" s="115">
        <v>50</v>
      </c>
      <c r="G8" s="115" t="s">
        <v>582</v>
      </c>
      <c r="H8" s="115" t="s">
        <v>483</v>
      </c>
      <c r="I8" s="115">
        <v>1</v>
      </c>
      <c r="L8" t="s">
        <v>172</v>
      </c>
      <c r="M8" t="s">
        <v>846</v>
      </c>
      <c r="N8" t="s">
        <v>522</v>
      </c>
    </row>
    <row r="9" spans="2:14" x14ac:dyDescent="0.25">
      <c r="B9" t="s">
        <v>85</v>
      </c>
      <c r="C9" t="s">
        <v>115</v>
      </c>
      <c r="D9" s="115">
        <v>4</v>
      </c>
      <c r="E9" s="115">
        <v>0</v>
      </c>
      <c r="F9" s="115">
        <v>50</v>
      </c>
      <c r="G9" s="115" t="s">
        <v>582</v>
      </c>
      <c r="H9" s="115" t="s">
        <v>160</v>
      </c>
      <c r="I9" s="115">
        <v>3</v>
      </c>
      <c r="L9" t="s">
        <v>162</v>
      </c>
      <c r="M9" t="s">
        <v>153</v>
      </c>
    </row>
    <row r="10" spans="2:14" x14ac:dyDescent="0.25">
      <c r="B10" t="s">
        <v>86</v>
      </c>
      <c r="C10" t="s">
        <v>121</v>
      </c>
      <c r="D10" s="115">
        <v>8</v>
      </c>
      <c r="E10" s="115">
        <v>0</v>
      </c>
      <c r="F10" s="115">
        <v>60</v>
      </c>
      <c r="G10" s="115" t="s">
        <v>582</v>
      </c>
      <c r="H10" s="115" t="s">
        <v>822</v>
      </c>
      <c r="I10" s="115">
        <v>6</v>
      </c>
      <c r="L10" t="s">
        <v>166</v>
      </c>
      <c r="M10" t="s">
        <v>157</v>
      </c>
      <c r="N10" t="s">
        <v>980</v>
      </c>
    </row>
    <row r="11" spans="2:14" x14ac:dyDescent="0.25">
      <c r="B11" t="s">
        <v>604</v>
      </c>
      <c r="C11" t="s">
        <v>122</v>
      </c>
      <c r="D11" s="115">
        <v>4</v>
      </c>
      <c r="E11" s="115">
        <v>0</v>
      </c>
      <c r="F11" s="115">
        <v>60</v>
      </c>
      <c r="G11" s="115" t="s">
        <v>582</v>
      </c>
      <c r="H11" s="115" t="s">
        <v>820</v>
      </c>
      <c r="I11" s="115">
        <v>6</v>
      </c>
      <c r="L11" t="s">
        <v>167</v>
      </c>
      <c r="M11" t="s">
        <v>175</v>
      </c>
    </row>
    <row r="12" spans="2:14" x14ac:dyDescent="0.25">
      <c r="B12" t="s">
        <v>87</v>
      </c>
      <c r="C12" t="s">
        <v>106</v>
      </c>
      <c r="D12" s="115">
        <v>4</v>
      </c>
      <c r="E12" s="115">
        <v>0</v>
      </c>
      <c r="F12" s="115">
        <v>50</v>
      </c>
      <c r="G12" s="115" t="s">
        <v>582</v>
      </c>
      <c r="H12" s="115" t="s">
        <v>160</v>
      </c>
      <c r="I12" s="115">
        <v>3</v>
      </c>
      <c r="L12" t="s">
        <v>163</v>
      </c>
      <c r="M12" t="s">
        <v>158</v>
      </c>
    </row>
    <row r="13" spans="2:14" x14ac:dyDescent="0.25">
      <c r="B13" t="s">
        <v>88</v>
      </c>
      <c r="C13" t="s">
        <v>123</v>
      </c>
      <c r="D13" s="115">
        <v>6</v>
      </c>
      <c r="E13" s="115">
        <v>0</v>
      </c>
      <c r="F13" s="115">
        <v>50</v>
      </c>
      <c r="G13" s="115" t="s">
        <v>582</v>
      </c>
      <c r="H13" s="115" t="s">
        <v>162</v>
      </c>
      <c r="I13" s="115">
        <v>3</v>
      </c>
      <c r="L13" t="s">
        <v>171</v>
      </c>
      <c r="M13" t="s">
        <v>170</v>
      </c>
    </row>
    <row r="14" spans="2:14" x14ac:dyDescent="0.25">
      <c r="B14" t="s">
        <v>89</v>
      </c>
      <c r="C14" t="s">
        <v>116</v>
      </c>
      <c r="D14" s="115">
        <v>5</v>
      </c>
      <c r="E14" s="115">
        <v>0</v>
      </c>
      <c r="F14" s="115">
        <v>70</v>
      </c>
      <c r="G14" s="115" t="s">
        <v>582</v>
      </c>
      <c r="H14" s="115" t="s">
        <v>162</v>
      </c>
      <c r="I14" s="115">
        <v>5</v>
      </c>
    </row>
    <row r="15" spans="2:14" x14ac:dyDescent="0.25">
      <c r="B15" t="s">
        <v>692</v>
      </c>
      <c r="C15" t="s">
        <v>107</v>
      </c>
      <c r="D15" s="115">
        <v>4</v>
      </c>
      <c r="E15" s="115">
        <v>1</v>
      </c>
      <c r="F15" s="115">
        <v>60</v>
      </c>
      <c r="G15" s="115" t="s">
        <v>582</v>
      </c>
      <c r="H15" s="115" t="s">
        <v>811</v>
      </c>
      <c r="I15" s="115">
        <v>4</v>
      </c>
      <c r="L15" t="s">
        <v>810</v>
      </c>
      <c r="M15" t="s">
        <v>176</v>
      </c>
    </row>
    <row r="16" spans="2:14" x14ac:dyDescent="0.25">
      <c r="B16" t="s">
        <v>90</v>
      </c>
      <c r="C16" t="s">
        <v>124</v>
      </c>
      <c r="D16" s="115">
        <v>4</v>
      </c>
      <c r="E16" s="115">
        <v>0</v>
      </c>
      <c r="F16" s="115">
        <v>70</v>
      </c>
      <c r="G16" s="115" t="s">
        <v>582</v>
      </c>
      <c r="H16" s="115" t="s">
        <v>165</v>
      </c>
      <c r="I16" s="115">
        <v>1</v>
      </c>
      <c r="L16" t="s">
        <v>809</v>
      </c>
      <c r="M16" t="s">
        <v>177</v>
      </c>
    </row>
    <row r="17" spans="2:14" x14ac:dyDescent="0.25">
      <c r="B17" t="s">
        <v>91</v>
      </c>
      <c r="C17" t="s">
        <v>117</v>
      </c>
      <c r="D17" s="115">
        <v>5</v>
      </c>
      <c r="E17" s="115">
        <v>0</v>
      </c>
      <c r="F17" s="115">
        <v>70</v>
      </c>
      <c r="G17" s="115" t="s">
        <v>583</v>
      </c>
      <c r="H17" s="115" t="s">
        <v>524</v>
      </c>
      <c r="I17" s="115">
        <v>3</v>
      </c>
      <c r="L17" t="s">
        <v>808</v>
      </c>
      <c r="M17" t="s">
        <v>178</v>
      </c>
      <c r="N17" t="s">
        <v>753</v>
      </c>
    </row>
    <row r="18" spans="2:14" x14ac:dyDescent="0.25">
      <c r="B18" t="s">
        <v>94</v>
      </c>
      <c r="C18" t="s">
        <v>108</v>
      </c>
      <c r="D18" s="115">
        <v>6</v>
      </c>
      <c r="E18" s="115">
        <v>0</v>
      </c>
      <c r="F18" s="115">
        <v>60</v>
      </c>
      <c r="G18" s="115" t="s">
        <v>582</v>
      </c>
      <c r="H18" s="115" t="s">
        <v>818</v>
      </c>
      <c r="I18" s="115">
        <v>2</v>
      </c>
      <c r="L18" t="s">
        <v>182</v>
      </c>
      <c r="M18" t="s">
        <v>181</v>
      </c>
    </row>
    <row r="19" spans="2:14" x14ac:dyDescent="0.25">
      <c r="B19" t="s">
        <v>92</v>
      </c>
      <c r="C19" t="s">
        <v>125</v>
      </c>
      <c r="D19" s="115">
        <v>4</v>
      </c>
      <c r="E19" s="115">
        <v>0</v>
      </c>
      <c r="F19" s="115">
        <v>70</v>
      </c>
      <c r="G19" s="115" t="s">
        <v>583</v>
      </c>
      <c r="H19" s="115" t="s">
        <v>812</v>
      </c>
      <c r="I19" s="115">
        <v>5</v>
      </c>
      <c r="L19" t="s">
        <v>180</v>
      </c>
      <c r="M19" t="s">
        <v>179</v>
      </c>
    </row>
    <row r="20" spans="2:14" x14ac:dyDescent="0.25">
      <c r="B20" t="s">
        <v>93</v>
      </c>
      <c r="C20" t="s">
        <v>126</v>
      </c>
      <c r="D20" s="115">
        <v>3</v>
      </c>
      <c r="E20" s="115">
        <v>0</v>
      </c>
      <c r="F20" s="115">
        <v>70</v>
      </c>
      <c r="G20" s="115" t="s">
        <v>582</v>
      </c>
      <c r="H20" s="115" t="s">
        <v>525</v>
      </c>
      <c r="I20" s="115">
        <v>6</v>
      </c>
    </row>
    <row r="21" spans="2:14" x14ac:dyDescent="0.25">
      <c r="B21" t="s">
        <v>95</v>
      </c>
      <c r="C21" t="s">
        <v>127</v>
      </c>
      <c r="D21" s="115">
        <v>11</v>
      </c>
      <c r="E21" s="115">
        <v>1</v>
      </c>
      <c r="F21" s="115">
        <v>70</v>
      </c>
      <c r="G21" s="115" t="s">
        <v>582</v>
      </c>
      <c r="H21" s="115" t="s">
        <v>162</v>
      </c>
      <c r="I21" s="115">
        <v>4</v>
      </c>
    </row>
    <row r="22" spans="2:14" x14ac:dyDescent="0.25">
      <c r="B22" t="s">
        <v>96</v>
      </c>
      <c r="C22" t="s">
        <v>128</v>
      </c>
      <c r="D22" s="115">
        <v>6</v>
      </c>
      <c r="E22" s="115">
        <v>0</v>
      </c>
      <c r="F22" s="115">
        <v>60</v>
      </c>
      <c r="G22" s="115" t="s">
        <v>582</v>
      </c>
      <c r="H22" s="115" t="s">
        <v>159</v>
      </c>
      <c r="I22" s="115">
        <v>2</v>
      </c>
    </row>
    <row r="23" spans="2:14" x14ac:dyDescent="0.25">
      <c r="B23" t="s">
        <v>99</v>
      </c>
      <c r="C23" t="s">
        <v>118</v>
      </c>
      <c r="D23" s="115">
        <v>5</v>
      </c>
      <c r="E23" s="115">
        <v>0</v>
      </c>
      <c r="F23" s="115">
        <v>70</v>
      </c>
      <c r="G23" s="115" t="s">
        <v>583</v>
      </c>
      <c r="H23" s="115" t="s">
        <v>524</v>
      </c>
      <c r="I23" s="115">
        <v>1</v>
      </c>
    </row>
    <row r="24" spans="2:14" x14ac:dyDescent="0.25">
      <c r="B24" t="s">
        <v>100</v>
      </c>
      <c r="C24" t="s">
        <v>129</v>
      </c>
      <c r="D24" s="115">
        <v>5</v>
      </c>
      <c r="E24" s="115">
        <v>0</v>
      </c>
      <c r="F24" s="115">
        <v>50</v>
      </c>
      <c r="G24" s="115" t="s">
        <v>582</v>
      </c>
      <c r="H24" s="115" t="s">
        <v>167</v>
      </c>
      <c r="I24" s="115">
        <v>2</v>
      </c>
    </row>
    <row r="25" spans="2:14" x14ac:dyDescent="0.25">
      <c r="B25" t="s">
        <v>97</v>
      </c>
      <c r="C25" t="s">
        <v>109</v>
      </c>
      <c r="D25" s="115">
        <v>4</v>
      </c>
      <c r="E25" s="115">
        <v>0</v>
      </c>
      <c r="F25" s="115">
        <v>50</v>
      </c>
      <c r="G25" s="115" t="s">
        <v>582</v>
      </c>
      <c r="H25" s="115" t="s">
        <v>165</v>
      </c>
      <c r="I25" s="115">
        <v>4</v>
      </c>
    </row>
    <row r="26" spans="2:14" x14ac:dyDescent="0.25">
      <c r="B26" t="s">
        <v>101</v>
      </c>
      <c r="C26" t="s">
        <v>130</v>
      </c>
      <c r="D26" s="115">
        <v>6</v>
      </c>
      <c r="E26" s="115">
        <v>0</v>
      </c>
      <c r="F26" s="115">
        <v>60</v>
      </c>
      <c r="G26" s="115" t="s">
        <v>582</v>
      </c>
      <c r="H26" s="115" t="s">
        <v>832</v>
      </c>
      <c r="I26" s="115">
        <v>6</v>
      </c>
    </row>
    <row r="27" spans="2:14" x14ac:dyDescent="0.25">
      <c r="B27" t="s">
        <v>690</v>
      </c>
      <c r="C27" t="s">
        <v>691</v>
      </c>
      <c r="D27" s="115">
        <v>4</v>
      </c>
      <c r="E27" s="115">
        <v>0</v>
      </c>
      <c r="F27" s="115">
        <v>70</v>
      </c>
      <c r="G27" s="115" t="s">
        <v>583</v>
      </c>
      <c r="H27" s="115" t="s">
        <v>166</v>
      </c>
      <c r="I27" s="115">
        <v>3</v>
      </c>
    </row>
    <row r="28" spans="2:14" x14ac:dyDescent="0.25">
      <c r="B28" t="s">
        <v>102</v>
      </c>
      <c r="C28" t="s">
        <v>386</v>
      </c>
      <c r="D28" s="115">
        <v>8</v>
      </c>
      <c r="E28" s="115">
        <v>1</v>
      </c>
      <c r="F28" s="115">
        <v>70</v>
      </c>
      <c r="G28" s="115" t="s">
        <v>582</v>
      </c>
      <c r="H28" s="115" t="s">
        <v>527</v>
      </c>
      <c r="I28" s="115">
        <v>1</v>
      </c>
    </row>
    <row r="29" spans="2:14" x14ac:dyDescent="0.25">
      <c r="B29" t="s">
        <v>98</v>
      </c>
      <c r="C29" t="s">
        <v>110</v>
      </c>
      <c r="D29" s="115">
        <v>5</v>
      </c>
      <c r="E29" s="115">
        <v>1</v>
      </c>
      <c r="F29" s="115">
        <v>60</v>
      </c>
      <c r="G29" s="115" t="s">
        <v>582</v>
      </c>
      <c r="H29" s="115" t="s">
        <v>166</v>
      </c>
      <c r="I29" s="115">
        <v>3</v>
      </c>
    </row>
    <row r="30" spans="2:14" x14ac:dyDescent="0.25">
      <c r="B30" t="s">
        <v>103</v>
      </c>
      <c r="C30" t="s">
        <v>119</v>
      </c>
      <c r="D30" s="115">
        <v>5</v>
      </c>
      <c r="E30" s="115">
        <v>0</v>
      </c>
      <c r="F30" s="115">
        <v>50</v>
      </c>
      <c r="G30" s="115" t="s">
        <v>582</v>
      </c>
      <c r="H30" s="115" t="s">
        <v>160</v>
      </c>
      <c r="I30" s="115">
        <v>2</v>
      </c>
    </row>
    <row r="31" spans="2:14" ht="45" x14ac:dyDescent="0.25">
      <c r="L31" s="143" t="s">
        <v>526</v>
      </c>
      <c r="M31" s="1" t="s">
        <v>833</v>
      </c>
    </row>
    <row r="32" spans="2:14" ht="30" x14ac:dyDescent="0.25">
      <c r="L32" s="143" t="s">
        <v>527</v>
      </c>
      <c r="M32" s="1" t="s">
        <v>834</v>
      </c>
    </row>
    <row r="33" spans="8:13" x14ac:dyDescent="0.25">
      <c r="L33" s="143" t="s">
        <v>159</v>
      </c>
      <c r="M33" t="s">
        <v>154</v>
      </c>
    </row>
    <row r="34" spans="8:13" ht="30" x14ac:dyDescent="0.25">
      <c r="L34" s="143" t="s">
        <v>821</v>
      </c>
      <c r="M34" s="1" t="s">
        <v>823</v>
      </c>
    </row>
    <row r="35" spans="8:13" ht="45" x14ac:dyDescent="0.25">
      <c r="L35" s="143" t="s">
        <v>832</v>
      </c>
      <c r="M35" s="1" t="s">
        <v>824</v>
      </c>
    </row>
    <row r="36" spans="8:13" ht="60" x14ac:dyDescent="0.25">
      <c r="L36" s="143" t="s">
        <v>822</v>
      </c>
      <c r="M36" s="1" t="s">
        <v>835</v>
      </c>
    </row>
    <row r="37" spans="8:13" ht="45" x14ac:dyDescent="0.25">
      <c r="L37" s="143" t="s">
        <v>575</v>
      </c>
      <c r="M37" s="1" t="s">
        <v>749</v>
      </c>
    </row>
    <row r="38" spans="8:13" ht="45" x14ac:dyDescent="0.25">
      <c r="H38"/>
      <c r="L38" s="143" t="s">
        <v>525</v>
      </c>
      <c r="M38" s="1" t="s">
        <v>825</v>
      </c>
    </row>
    <row r="39" spans="8:13" x14ac:dyDescent="0.25">
      <c r="L39" s="143" t="s">
        <v>160</v>
      </c>
      <c r="M39" t="s">
        <v>164</v>
      </c>
    </row>
    <row r="40" spans="8:13" x14ac:dyDescent="0.25">
      <c r="H40"/>
      <c r="L40" s="143" t="s">
        <v>171</v>
      </c>
      <c r="M40" t="s">
        <v>170</v>
      </c>
    </row>
    <row r="41" spans="8:13" x14ac:dyDescent="0.25">
      <c r="H41"/>
      <c r="L41" s="143" t="s">
        <v>812</v>
      </c>
      <c r="M41" t="s">
        <v>750</v>
      </c>
    </row>
    <row r="42" spans="8:13" x14ac:dyDescent="0.25">
      <c r="L42" s="143" t="s">
        <v>811</v>
      </c>
      <c r="M42" t="s">
        <v>816</v>
      </c>
    </row>
    <row r="43" spans="8:13" x14ac:dyDescent="0.25">
      <c r="L43" s="143" t="s">
        <v>165</v>
      </c>
      <c r="M43" t="s">
        <v>156</v>
      </c>
    </row>
    <row r="44" spans="8:13" ht="30" x14ac:dyDescent="0.25">
      <c r="L44" s="143" t="s">
        <v>524</v>
      </c>
      <c r="M44" s="1" t="s">
        <v>751</v>
      </c>
    </row>
    <row r="45" spans="8:13" x14ac:dyDescent="0.25">
      <c r="L45" s="143" t="s">
        <v>162</v>
      </c>
      <c r="M45" t="s">
        <v>153</v>
      </c>
    </row>
    <row r="46" spans="8:13" ht="30" x14ac:dyDescent="0.25">
      <c r="H46"/>
      <c r="L46" s="143" t="s">
        <v>820</v>
      </c>
      <c r="M46" s="1" t="s">
        <v>826</v>
      </c>
    </row>
    <row r="47" spans="8:13" ht="30" x14ac:dyDescent="0.25">
      <c r="L47" s="143" t="s">
        <v>818</v>
      </c>
      <c r="M47" s="1" t="s">
        <v>817</v>
      </c>
    </row>
    <row r="48" spans="8:13" ht="30" x14ac:dyDescent="0.25">
      <c r="H48"/>
      <c r="L48" s="143" t="s">
        <v>483</v>
      </c>
      <c r="M48" s="1" t="s">
        <v>752</v>
      </c>
    </row>
    <row r="49" spans="8:13" x14ac:dyDescent="0.25">
      <c r="H49"/>
      <c r="L49" s="143" t="s">
        <v>166</v>
      </c>
      <c r="M49" t="s">
        <v>157</v>
      </c>
    </row>
    <row r="50" spans="8:13" x14ac:dyDescent="0.25">
      <c r="L50" s="143" t="s">
        <v>167</v>
      </c>
      <c r="M50" t="s">
        <v>175</v>
      </c>
    </row>
    <row r="51" spans="8:13" ht="30" x14ac:dyDescent="0.25">
      <c r="L51" s="143" t="s">
        <v>819</v>
      </c>
      <c r="M51" s="1" t="s">
        <v>827</v>
      </c>
    </row>
  </sheetData>
  <sortState xmlns:xlrd2="http://schemas.microsoft.com/office/spreadsheetml/2017/richdata2" ref="B2:I30">
    <sortCondition ref="B2:B30"/>
  </sortState>
  <pageMargins left="0.7" right="0.7" top="0.78740157499999996" bottom="0.78740157499999996"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0">
    <tabColor rgb="FFFF0000"/>
  </sheetPr>
  <dimension ref="A1:M152"/>
  <sheetViews>
    <sheetView workbookViewId="0"/>
  </sheetViews>
  <sheetFormatPr defaultColWidth="11.42578125" defaultRowHeight="15" x14ac:dyDescent="0.25"/>
  <cols>
    <col min="2" max="2" width="24.28515625" bestFit="1" customWidth="1"/>
    <col min="3" max="3" width="4" bestFit="1" customWidth="1"/>
    <col min="4" max="4" width="3.28515625" bestFit="1" customWidth="1"/>
    <col min="5" max="5" width="4" bestFit="1" customWidth="1"/>
    <col min="6" max="7" width="2" bestFit="1" customWidth="1"/>
    <col min="8" max="9" width="3" bestFit="1" customWidth="1"/>
    <col min="10" max="10" width="4" bestFit="1" customWidth="1"/>
    <col min="11" max="11" width="116.7109375" bestFit="1" customWidth="1"/>
  </cols>
  <sheetData>
    <row r="1" spans="1:13" x14ac:dyDescent="0.25">
      <c r="A1" t="s">
        <v>409</v>
      </c>
      <c r="B1" t="s">
        <v>782</v>
      </c>
      <c r="C1">
        <v>16</v>
      </c>
      <c r="E1">
        <v>50</v>
      </c>
      <c r="F1">
        <v>6</v>
      </c>
      <c r="G1">
        <v>3</v>
      </c>
      <c r="H1">
        <v>3</v>
      </c>
      <c r="I1">
        <v>4</v>
      </c>
      <c r="J1">
        <v>8</v>
      </c>
      <c r="K1" t="s">
        <v>23</v>
      </c>
      <c r="L1" t="s">
        <v>17</v>
      </c>
      <c r="M1" t="s">
        <v>274</v>
      </c>
    </row>
    <row r="2" spans="1:13" x14ac:dyDescent="0.25">
      <c r="A2" t="s">
        <v>410</v>
      </c>
      <c r="B2" t="s">
        <v>783</v>
      </c>
      <c r="C2">
        <v>2</v>
      </c>
      <c r="E2">
        <v>80</v>
      </c>
      <c r="F2">
        <v>6</v>
      </c>
      <c r="G2">
        <v>3</v>
      </c>
      <c r="H2">
        <v>3</v>
      </c>
      <c r="I2">
        <v>3</v>
      </c>
      <c r="J2">
        <v>8</v>
      </c>
      <c r="K2" t="s">
        <v>788</v>
      </c>
      <c r="L2" t="s">
        <v>277</v>
      </c>
      <c r="M2" t="s">
        <v>274</v>
      </c>
    </row>
    <row r="3" spans="1:13" x14ac:dyDescent="0.25">
      <c r="A3" t="s">
        <v>411</v>
      </c>
      <c r="B3" t="s">
        <v>784</v>
      </c>
      <c r="C3">
        <v>2</v>
      </c>
      <c r="E3">
        <v>90</v>
      </c>
      <c r="F3">
        <v>7</v>
      </c>
      <c r="G3">
        <v>3</v>
      </c>
      <c r="H3">
        <v>3</v>
      </c>
      <c r="I3">
        <v>5</v>
      </c>
      <c r="J3">
        <v>8</v>
      </c>
      <c r="K3" t="s">
        <v>787</v>
      </c>
      <c r="L3" t="s">
        <v>6</v>
      </c>
      <c r="M3" t="s">
        <v>19</v>
      </c>
    </row>
    <row r="4" spans="1:13" x14ac:dyDescent="0.25">
      <c r="A4" t="s">
        <v>412</v>
      </c>
      <c r="B4" t="s">
        <v>785</v>
      </c>
      <c r="C4">
        <v>2</v>
      </c>
      <c r="E4">
        <v>110</v>
      </c>
      <c r="F4">
        <v>6</v>
      </c>
      <c r="G4">
        <v>4</v>
      </c>
      <c r="H4">
        <v>3</v>
      </c>
      <c r="I4">
        <v>5</v>
      </c>
      <c r="J4">
        <v>9</v>
      </c>
      <c r="K4" t="s">
        <v>786</v>
      </c>
      <c r="L4" t="s">
        <v>269</v>
      </c>
      <c r="M4" t="s">
        <v>16</v>
      </c>
    </row>
    <row r="5" spans="1:13" x14ac:dyDescent="0.25">
      <c r="A5" t="s">
        <v>185</v>
      </c>
      <c r="B5" t="s">
        <v>188</v>
      </c>
      <c r="C5">
        <v>12</v>
      </c>
      <c r="E5">
        <v>45</v>
      </c>
      <c r="F5">
        <v>6</v>
      </c>
      <c r="G5">
        <v>2</v>
      </c>
      <c r="H5">
        <v>3</v>
      </c>
      <c r="I5">
        <v>4</v>
      </c>
      <c r="J5">
        <v>8</v>
      </c>
      <c r="K5" t="s">
        <v>189</v>
      </c>
      <c r="L5" t="s">
        <v>16</v>
      </c>
      <c r="M5" t="s">
        <v>268</v>
      </c>
    </row>
    <row r="6" spans="1:13" x14ac:dyDescent="0.25">
      <c r="A6" t="s">
        <v>186</v>
      </c>
      <c r="B6" t="s">
        <v>78</v>
      </c>
      <c r="C6">
        <v>6</v>
      </c>
      <c r="E6">
        <v>90</v>
      </c>
      <c r="F6">
        <v>4</v>
      </c>
      <c r="G6">
        <v>4</v>
      </c>
      <c r="H6">
        <v>4</v>
      </c>
      <c r="I6">
        <v>5</v>
      </c>
      <c r="J6">
        <v>10</v>
      </c>
      <c r="K6" t="s">
        <v>190</v>
      </c>
      <c r="L6" t="s">
        <v>269</v>
      </c>
      <c r="M6" t="s">
        <v>270</v>
      </c>
    </row>
    <row r="7" spans="1:13" x14ac:dyDescent="0.25">
      <c r="A7" t="s">
        <v>187</v>
      </c>
      <c r="B7" t="s">
        <v>587</v>
      </c>
      <c r="C7">
        <v>1</v>
      </c>
      <c r="E7">
        <v>115</v>
      </c>
      <c r="F7">
        <v>4</v>
      </c>
      <c r="G7">
        <v>5</v>
      </c>
      <c r="H7">
        <v>5</v>
      </c>
      <c r="I7">
        <v>5</v>
      </c>
      <c r="J7">
        <v>10</v>
      </c>
      <c r="K7" t="s">
        <v>619</v>
      </c>
      <c r="L7" t="s">
        <v>19</v>
      </c>
      <c r="M7" t="s">
        <v>271</v>
      </c>
    </row>
    <row r="8" spans="1:13" x14ac:dyDescent="0.25">
      <c r="A8" t="s">
        <v>192</v>
      </c>
      <c r="B8" t="s">
        <v>197</v>
      </c>
      <c r="C8">
        <v>16</v>
      </c>
      <c r="E8">
        <v>60</v>
      </c>
      <c r="F8">
        <v>6</v>
      </c>
      <c r="G8">
        <v>3</v>
      </c>
      <c r="H8">
        <v>3</v>
      </c>
      <c r="I8">
        <v>4</v>
      </c>
      <c r="J8">
        <v>9</v>
      </c>
      <c r="K8" t="s">
        <v>49</v>
      </c>
      <c r="L8" t="s">
        <v>272</v>
      </c>
      <c r="M8" t="s">
        <v>270</v>
      </c>
    </row>
    <row r="9" spans="1:13" x14ac:dyDescent="0.25">
      <c r="A9" t="s">
        <v>193</v>
      </c>
      <c r="B9" t="s">
        <v>577</v>
      </c>
      <c r="C9">
        <v>4</v>
      </c>
      <c r="E9">
        <v>100</v>
      </c>
      <c r="F9">
        <v>5</v>
      </c>
      <c r="G9">
        <v>4</v>
      </c>
      <c r="H9">
        <v>3</v>
      </c>
      <c r="I9">
        <v>5</v>
      </c>
      <c r="J9">
        <v>10</v>
      </c>
      <c r="K9" t="s">
        <v>152</v>
      </c>
      <c r="L9" t="s">
        <v>272</v>
      </c>
      <c r="M9" t="s">
        <v>16</v>
      </c>
    </row>
    <row r="10" spans="1:13" x14ac:dyDescent="0.25">
      <c r="A10" t="s">
        <v>194</v>
      </c>
      <c r="B10" t="s">
        <v>198</v>
      </c>
      <c r="C10">
        <v>1</v>
      </c>
      <c r="D10" t="s">
        <v>151</v>
      </c>
      <c r="E10">
        <v>115</v>
      </c>
      <c r="F10">
        <v>4</v>
      </c>
      <c r="G10">
        <v>5</v>
      </c>
      <c r="H10">
        <v>5</v>
      </c>
      <c r="I10">
        <v>5</v>
      </c>
      <c r="J10">
        <v>10</v>
      </c>
      <c r="K10" t="s">
        <v>620</v>
      </c>
      <c r="L10" t="s">
        <v>273</v>
      </c>
      <c r="M10" t="s">
        <v>6</v>
      </c>
    </row>
    <row r="11" spans="1:13" x14ac:dyDescent="0.25">
      <c r="A11" t="s">
        <v>195</v>
      </c>
      <c r="B11" t="s">
        <v>199</v>
      </c>
      <c r="C11">
        <v>1</v>
      </c>
      <c r="D11" t="s">
        <v>151</v>
      </c>
      <c r="E11">
        <v>140</v>
      </c>
      <c r="F11">
        <v>5</v>
      </c>
      <c r="G11">
        <v>5</v>
      </c>
      <c r="H11">
        <v>4</v>
      </c>
      <c r="I11">
        <v>5</v>
      </c>
      <c r="J11">
        <v>10</v>
      </c>
      <c r="K11" t="s">
        <v>621</v>
      </c>
      <c r="L11" t="s">
        <v>273</v>
      </c>
      <c r="M11" t="s">
        <v>6</v>
      </c>
    </row>
    <row r="12" spans="1:13" x14ac:dyDescent="0.25">
      <c r="A12" t="s">
        <v>196</v>
      </c>
      <c r="B12" t="s">
        <v>200</v>
      </c>
      <c r="C12">
        <v>1</v>
      </c>
      <c r="D12" t="s">
        <v>151</v>
      </c>
      <c r="E12">
        <v>150</v>
      </c>
      <c r="F12">
        <v>5</v>
      </c>
      <c r="G12">
        <v>5</v>
      </c>
      <c r="H12">
        <v>4</v>
      </c>
      <c r="I12" s="4" t="s">
        <v>14</v>
      </c>
      <c r="J12">
        <v>9</v>
      </c>
      <c r="K12" t="s">
        <v>622</v>
      </c>
      <c r="L12" t="s">
        <v>273</v>
      </c>
      <c r="M12" t="s">
        <v>6</v>
      </c>
    </row>
    <row r="13" spans="1:13" x14ac:dyDescent="0.25">
      <c r="A13" t="s">
        <v>414</v>
      </c>
      <c r="B13" t="s">
        <v>567</v>
      </c>
      <c r="C13">
        <v>16</v>
      </c>
      <c r="E13">
        <v>40</v>
      </c>
      <c r="F13">
        <v>6</v>
      </c>
      <c r="G13">
        <v>3</v>
      </c>
      <c r="H13">
        <v>3</v>
      </c>
      <c r="I13">
        <v>4</v>
      </c>
      <c r="J13">
        <v>8</v>
      </c>
      <c r="K13" t="s">
        <v>152</v>
      </c>
      <c r="L13" t="s">
        <v>17</v>
      </c>
      <c r="M13" t="s">
        <v>274</v>
      </c>
    </row>
    <row r="14" spans="1:13" x14ac:dyDescent="0.25">
      <c r="A14" t="s">
        <v>415</v>
      </c>
      <c r="B14" t="s">
        <v>418</v>
      </c>
      <c r="C14">
        <v>6</v>
      </c>
      <c r="E14">
        <v>70</v>
      </c>
      <c r="F14">
        <v>4</v>
      </c>
      <c r="G14">
        <v>3</v>
      </c>
      <c r="H14">
        <v>4</v>
      </c>
      <c r="I14">
        <v>6</v>
      </c>
      <c r="J14">
        <v>10</v>
      </c>
      <c r="K14" t="s">
        <v>236</v>
      </c>
      <c r="L14" t="s">
        <v>269</v>
      </c>
      <c r="M14" t="s">
        <v>104</v>
      </c>
    </row>
    <row r="15" spans="1:13" x14ac:dyDescent="0.25">
      <c r="A15" t="s">
        <v>416</v>
      </c>
      <c r="B15" t="s">
        <v>576</v>
      </c>
      <c r="C15">
        <v>2</v>
      </c>
      <c r="E15">
        <v>130</v>
      </c>
      <c r="F15">
        <v>6</v>
      </c>
      <c r="G15">
        <v>4</v>
      </c>
      <c r="H15">
        <v>4</v>
      </c>
      <c r="I15">
        <v>6</v>
      </c>
      <c r="J15">
        <v>10</v>
      </c>
      <c r="K15" t="s">
        <v>419</v>
      </c>
      <c r="L15" t="s">
        <v>269</v>
      </c>
      <c r="M15" t="s">
        <v>16</v>
      </c>
    </row>
    <row r="16" spans="1:13" x14ac:dyDescent="0.25">
      <c r="A16" t="s">
        <v>417</v>
      </c>
      <c r="B16" t="s">
        <v>420</v>
      </c>
      <c r="C16">
        <v>1</v>
      </c>
      <c r="E16">
        <v>150</v>
      </c>
      <c r="F16">
        <v>5</v>
      </c>
      <c r="G16">
        <v>5</v>
      </c>
      <c r="H16">
        <v>4</v>
      </c>
      <c r="I16" s="4" t="s">
        <v>14</v>
      </c>
      <c r="J16">
        <v>9</v>
      </c>
      <c r="K16" t="s">
        <v>618</v>
      </c>
      <c r="L16" t="s">
        <v>19</v>
      </c>
      <c r="M16" t="s">
        <v>279</v>
      </c>
    </row>
    <row r="17" spans="1:13" x14ac:dyDescent="0.25">
      <c r="A17" t="s">
        <v>201</v>
      </c>
      <c r="B17" t="s">
        <v>211</v>
      </c>
      <c r="C17">
        <v>12</v>
      </c>
      <c r="E17">
        <v>50</v>
      </c>
      <c r="F17">
        <v>6</v>
      </c>
      <c r="G17">
        <v>3</v>
      </c>
      <c r="H17">
        <v>3</v>
      </c>
      <c r="I17">
        <v>4</v>
      </c>
      <c r="J17">
        <v>9</v>
      </c>
      <c r="K17" t="s">
        <v>152</v>
      </c>
      <c r="L17" t="s">
        <v>278</v>
      </c>
      <c r="M17" t="s">
        <v>274</v>
      </c>
    </row>
    <row r="18" spans="1:13" x14ac:dyDescent="0.25">
      <c r="A18" t="s">
        <v>202</v>
      </c>
      <c r="B18" t="s">
        <v>212</v>
      </c>
      <c r="C18">
        <v>1</v>
      </c>
      <c r="E18">
        <v>75</v>
      </c>
      <c r="F18">
        <v>6</v>
      </c>
      <c r="G18">
        <v>3</v>
      </c>
      <c r="H18">
        <v>3</v>
      </c>
      <c r="I18">
        <v>3</v>
      </c>
      <c r="J18">
        <v>9</v>
      </c>
      <c r="K18" t="s">
        <v>623</v>
      </c>
      <c r="L18" t="s">
        <v>275</v>
      </c>
      <c r="M18" t="s">
        <v>274</v>
      </c>
    </row>
    <row r="19" spans="1:13" x14ac:dyDescent="0.25">
      <c r="A19" t="s">
        <v>203</v>
      </c>
      <c r="B19" t="s">
        <v>213</v>
      </c>
      <c r="C19">
        <v>1</v>
      </c>
      <c r="E19">
        <v>40</v>
      </c>
      <c r="F19">
        <v>6</v>
      </c>
      <c r="G19">
        <v>2</v>
      </c>
      <c r="H19">
        <v>3</v>
      </c>
      <c r="I19">
        <v>4</v>
      </c>
      <c r="J19">
        <v>8</v>
      </c>
      <c r="K19" t="s">
        <v>630</v>
      </c>
      <c r="L19" t="s">
        <v>104</v>
      </c>
      <c r="M19" t="s">
        <v>277</v>
      </c>
    </row>
    <row r="20" spans="1:13" x14ac:dyDescent="0.25">
      <c r="A20" t="s">
        <v>204</v>
      </c>
      <c r="B20" t="s">
        <v>214</v>
      </c>
      <c r="C20">
        <v>1</v>
      </c>
      <c r="E20">
        <v>50</v>
      </c>
      <c r="F20">
        <v>5</v>
      </c>
      <c r="G20">
        <v>3</v>
      </c>
      <c r="H20">
        <v>3</v>
      </c>
      <c r="I20">
        <v>5</v>
      </c>
      <c r="J20">
        <v>10</v>
      </c>
      <c r="K20" t="s">
        <v>624</v>
      </c>
      <c r="L20" t="s">
        <v>278</v>
      </c>
      <c r="M20" t="s">
        <v>274</v>
      </c>
    </row>
    <row r="21" spans="1:13" x14ac:dyDescent="0.25">
      <c r="A21" t="s">
        <v>205</v>
      </c>
      <c r="B21" t="s">
        <v>215</v>
      </c>
      <c r="C21">
        <v>1</v>
      </c>
      <c r="E21">
        <v>50</v>
      </c>
      <c r="F21">
        <v>7</v>
      </c>
      <c r="G21">
        <v>3</v>
      </c>
      <c r="H21">
        <v>3</v>
      </c>
      <c r="I21">
        <v>4</v>
      </c>
      <c r="J21">
        <v>8</v>
      </c>
      <c r="K21" t="s">
        <v>624</v>
      </c>
      <c r="L21" t="s">
        <v>278</v>
      </c>
      <c r="M21" t="s">
        <v>274</v>
      </c>
    </row>
    <row r="22" spans="1:13" x14ac:dyDescent="0.25">
      <c r="A22" t="s">
        <v>206</v>
      </c>
      <c r="B22" t="s">
        <v>216</v>
      </c>
      <c r="C22">
        <v>1</v>
      </c>
      <c r="E22">
        <v>75</v>
      </c>
      <c r="F22">
        <v>6</v>
      </c>
      <c r="G22">
        <v>3</v>
      </c>
      <c r="H22">
        <v>2</v>
      </c>
      <c r="I22">
        <v>3</v>
      </c>
      <c r="J22">
        <v>9</v>
      </c>
      <c r="K22" t="s">
        <v>624</v>
      </c>
      <c r="L22" t="s">
        <v>279</v>
      </c>
      <c r="M22" t="s">
        <v>276</v>
      </c>
    </row>
    <row r="23" spans="1:13" x14ac:dyDescent="0.25">
      <c r="A23" t="s">
        <v>207</v>
      </c>
      <c r="B23" t="s">
        <v>217</v>
      </c>
      <c r="C23">
        <v>1</v>
      </c>
      <c r="D23" t="s">
        <v>151</v>
      </c>
      <c r="E23">
        <v>115</v>
      </c>
      <c r="F23">
        <v>4</v>
      </c>
      <c r="G23">
        <v>5</v>
      </c>
      <c r="H23">
        <v>5</v>
      </c>
      <c r="I23">
        <v>5</v>
      </c>
      <c r="J23">
        <v>10</v>
      </c>
      <c r="K23" t="s">
        <v>620</v>
      </c>
      <c r="L23" t="s">
        <v>19</v>
      </c>
      <c r="M23" t="s">
        <v>279</v>
      </c>
    </row>
    <row r="24" spans="1:13" x14ac:dyDescent="0.25">
      <c r="A24" t="s">
        <v>208</v>
      </c>
      <c r="B24" t="s">
        <v>218</v>
      </c>
      <c r="C24">
        <v>1</v>
      </c>
      <c r="D24" t="s">
        <v>151</v>
      </c>
      <c r="E24">
        <v>140</v>
      </c>
      <c r="F24">
        <v>5</v>
      </c>
      <c r="G24">
        <v>5</v>
      </c>
      <c r="H24">
        <v>4</v>
      </c>
      <c r="I24">
        <v>5</v>
      </c>
      <c r="J24">
        <v>10</v>
      </c>
      <c r="K24" t="s">
        <v>621</v>
      </c>
      <c r="L24" t="s">
        <v>19</v>
      </c>
      <c r="M24" t="s">
        <v>279</v>
      </c>
    </row>
    <row r="25" spans="1:13" x14ac:dyDescent="0.25">
      <c r="A25" t="s">
        <v>209</v>
      </c>
      <c r="B25" t="s">
        <v>219</v>
      </c>
      <c r="C25">
        <v>1</v>
      </c>
      <c r="D25" t="s">
        <v>151</v>
      </c>
      <c r="E25">
        <v>150</v>
      </c>
      <c r="F25">
        <v>5</v>
      </c>
      <c r="G25">
        <v>5</v>
      </c>
      <c r="H25">
        <v>4</v>
      </c>
      <c r="I25" s="4" t="s">
        <v>14</v>
      </c>
      <c r="J25">
        <v>9</v>
      </c>
      <c r="K25" t="s">
        <v>622</v>
      </c>
      <c r="L25" t="s">
        <v>19</v>
      </c>
      <c r="M25" t="s">
        <v>279</v>
      </c>
    </row>
    <row r="26" spans="1:13" x14ac:dyDescent="0.25">
      <c r="A26" t="s">
        <v>210</v>
      </c>
      <c r="B26" t="s">
        <v>220</v>
      </c>
      <c r="C26">
        <v>1</v>
      </c>
      <c r="D26" t="s">
        <v>151</v>
      </c>
      <c r="E26">
        <v>150</v>
      </c>
      <c r="F26">
        <v>6</v>
      </c>
      <c r="G26">
        <v>5</v>
      </c>
      <c r="H26">
        <v>4</v>
      </c>
      <c r="I26" s="4" t="s">
        <v>14</v>
      </c>
      <c r="J26">
        <v>9</v>
      </c>
      <c r="K26" t="s">
        <v>617</v>
      </c>
      <c r="L26" t="s">
        <v>19</v>
      </c>
      <c r="M26" t="s">
        <v>279</v>
      </c>
    </row>
    <row r="27" spans="1:13" x14ac:dyDescent="0.25">
      <c r="A27" t="s">
        <v>221</v>
      </c>
      <c r="B27" t="s">
        <v>226</v>
      </c>
      <c r="C27">
        <v>12</v>
      </c>
      <c r="E27">
        <v>70</v>
      </c>
      <c r="F27">
        <v>6</v>
      </c>
      <c r="G27">
        <v>3</v>
      </c>
      <c r="H27">
        <v>2</v>
      </c>
      <c r="I27">
        <v>4</v>
      </c>
      <c r="J27">
        <v>9</v>
      </c>
      <c r="K27" t="s">
        <v>152</v>
      </c>
      <c r="L27" t="s">
        <v>6</v>
      </c>
      <c r="M27" t="s">
        <v>19</v>
      </c>
    </row>
    <row r="28" spans="1:13" x14ac:dyDescent="0.25">
      <c r="A28" t="s">
        <v>222</v>
      </c>
      <c r="B28" t="s">
        <v>441</v>
      </c>
      <c r="C28">
        <v>2</v>
      </c>
      <c r="E28">
        <v>80</v>
      </c>
      <c r="F28">
        <v>7</v>
      </c>
      <c r="G28">
        <v>3</v>
      </c>
      <c r="H28">
        <v>2</v>
      </c>
      <c r="I28">
        <v>3</v>
      </c>
      <c r="J28">
        <v>8</v>
      </c>
      <c r="K28" t="s">
        <v>57</v>
      </c>
      <c r="L28" t="s">
        <v>271</v>
      </c>
      <c r="M28" t="s">
        <v>19</v>
      </c>
    </row>
    <row r="29" spans="1:13" x14ac:dyDescent="0.25">
      <c r="A29" t="s">
        <v>223</v>
      </c>
      <c r="B29" t="s">
        <v>608</v>
      </c>
      <c r="C29">
        <v>4</v>
      </c>
      <c r="E29">
        <v>100</v>
      </c>
      <c r="F29">
        <v>7</v>
      </c>
      <c r="G29">
        <v>3</v>
      </c>
      <c r="H29">
        <v>2</v>
      </c>
      <c r="I29">
        <v>4</v>
      </c>
      <c r="J29">
        <v>9</v>
      </c>
      <c r="K29" t="s">
        <v>32</v>
      </c>
      <c r="L29" t="s">
        <v>6</v>
      </c>
      <c r="M29" t="s">
        <v>276</v>
      </c>
    </row>
    <row r="30" spans="1:13" x14ac:dyDescent="0.25">
      <c r="A30" t="s">
        <v>224</v>
      </c>
      <c r="B30" t="s">
        <v>227</v>
      </c>
      <c r="C30">
        <v>2</v>
      </c>
      <c r="E30">
        <v>85</v>
      </c>
      <c r="F30">
        <v>7</v>
      </c>
      <c r="G30">
        <v>3</v>
      </c>
      <c r="H30">
        <v>2</v>
      </c>
      <c r="I30">
        <v>5</v>
      </c>
      <c r="J30">
        <v>8</v>
      </c>
      <c r="K30" t="s">
        <v>228</v>
      </c>
      <c r="L30" t="s">
        <v>6</v>
      </c>
      <c r="M30" t="s">
        <v>276</v>
      </c>
    </row>
    <row r="31" spans="1:13" x14ac:dyDescent="0.25">
      <c r="A31" t="s">
        <v>225</v>
      </c>
      <c r="B31" t="s">
        <v>229</v>
      </c>
      <c r="C31">
        <v>2</v>
      </c>
      <c r="E31">
        <v>110</v>
      </c>
      <c r="F31">
        <v>7</v>
      </c>
      <c r="G31">
        <v>3</v>
      </c>
      <c r="H31">
        <v>2</v>
      </c>
      <c r="I31">
        <v>5</v>
      </c>
      <c r="J31">
        <v>8</v>
      </c>
      <c r="K31" t="s">
        <v>625</v>
      </c>
      <c r="L31" t="s">
        <v>6</v>
      </c>
      <c r="M31" t="s">
        <v>276</v>
      </c>
    </row>
    <row r="32" spans="1:13" x14ac:dyDescent="0.25">
      <c r="A32" t="s">
        <v>230</v>
      </c>
      <c r="B32" t="s">
        <v>235</v>
      </c>
      <c r="C32">
        <v>12</v>
      </c>
      <c r="E32">
        <v>70</v>
      </c>
      <c r="F32">
        <v>4</v>
      </c>
      <c r="G32">
        <v>3</v>
      </c>
      <c r="H32">
        <v>4</v>
      </c>
      <c r="I32">
        <v>5</v>
      </c>
      <c r="J32">
        <v>10</v>
      </c>
      <c r="K32" t="s">
        <v>236</v>
      </c>
      <c r="L32" t="s">
        <v>269</v>
      </c>
      <c r="M32" t="s">
        <v>16</v>
      </c>
    </row>
    <row r="33" spans="1:13" x14ac:dyDescent="0.25">
      <c r="A33" t="s">
        <v>231</v>
      </c>
      <c r="B33" t="s">
        <v>442</v>
      </c>
      <c r="C33">
        <v>2</v>
      </c>
      <c r="E33">
        <v>85</v>
      </c>
      <c r="F33">
        <v>6</v>
      </c>
      <c r="G33">
        <v>3</v>
      </c>
      <c r="H33">
        <v>3</v>
      </c>
      <c r="I33">
        <v>4</v>
      </c>
      <c r="J33">
        <v>9</v>
      </c>
      <c r="K33" t="s">
        <v>237</v>
      </c>
      <c r="L33" t="s">
        <v>277</v>
      </c>
      <c r="M33" t="s">
        <v>274</v>
      </c>
    </row>
    <row r="34" spans="1:13" x14ac:dyDescent="0.25">
      <c r="A34" t="s">
        <v>232</v>
      </c>
      <c r="B34" t="s">
        <v>443</v>
      </c>
      <c r="C34">
        <v>2</v>
      </c>
      <c r="E34">
        <v>80</v>
      </c>
      <c r="F34">
        <v>5</v>
      </c>
      <c r="G34">
        <v>3</v>
      </c>
      <c r="H34">
        <v>3</v>
      </c>
      <c r="I34">
        <v>4</v>
      </c>
      <c r="J34">
        <v>10</v>
      </c>
      <c r="K34" t="s">
        <v>238</v>
      </c>
      <c r="L34" t="s">
        <v>269</v>
      </c>
      <c r="M34" t="s">
        <v>270</v>
      </c>
    </row>
    <row r="35" spans="1:13" x14ac:dyDescent="0.25">
      <c r="A35" t="s">
        <v>233</v>
      </c>
      <c r="B35" t="s">
        <v>239</v>
      </c>
      <c r="C35">
        <v>2</v>
      </c>
      <c r="E35">
        <v>95</v>
      </c>
      <c r="F35">
        <v>5</v>
      </c>
      <c r="G35">
        <v>3</v>
      </c>
      <c r="H35">
        <v>4</v>
      </c>
      <c r="I35" s="4" t="s">
        <v>14</v>
      </c>
      <c r="J35">
        <v>9</v>
      </c>
      <c r="K35" t="s">
        <v>626</v>
      </c>
      <c r="L35" t="s">
        <v>269</v>
      </c>
      <c r="M35" t="s">
        <v>16</v>
      </c>
    </row>
    <row r="36" spans="1:13" x14ac:dyDescent="0.25">
      <c r="A36" t="s">
        <v>234</v>
      </c>
      <c r="B36" t="s">
        <v>240</v>
      </c>
      <c r="C36">
        <v>1</v>
      </c>
      <c r="E36">
        <v>170</v>
      </c>
      <c r="F36">
        <v>4</v>
      </c>
      <c r="G36">
        <v>7</v>
      </c>
      <c r="H36">
        <v>5</v>
      </c>
      <c r="I36" s="4" t="s">
        <v>14</v>
      </c>
      <c r="J36">
        <v>11</v>
      </c>
      <c r="K36" t="s">
        <v>627</v>
      </c>
      <c r="L36" t="s">
        <v>19</v>
      </c>
      <c r="M36" t="s">
        <v>6</v>
      </c>
    </row>
    <row r="37" spans="1:13" x14ac:dyDescent="0.25">
      <c r="A37" t="s">
        <v>241</v>
      </c>
      <c r="B37" t="s">
        <v>444</v>
      </c>
      <c r="C37">
        <v>12</v>
      </c>
      <c r="E37">
        <v>60</v>
      </c>
      <c r="F37">
        <v>6</v>
      </c>
      <c r="G37">
        <v>3</v>
      </c>
      <c r="H37">
        <v>2</v>
      </c>
      <c r="I37">
        <v>4</v>
      </c>
      <c r="J37">
        <v>8</v>
      </c>
      <c r="K37" t="s">
        <v>152</v>
      </c>
      <c r="L37" t="s">
        <v>6</v>
      </c>
      <c r="M37" t="s">
        <v>19</v>
      </c>
    </row>
    <row r="38" spans="1:13" x14ac:dyDescent="0.25">
      <c r="A38" t="s">
        <v>242</v>
      </c>
      <c r="B38" t="s">
        <v>445</v>
      </c>
      <c r="C38">
        <v>2</v>
      </c>
      <c r="E38">
        <v>75</v>
      </c>
      <c r="F38">
        <v>6</v>
      </c>
      <c r="G38">
        <v>3</v>
      </c>
      <c r="H38">
        <v>2</v>
      </c>
      <c r="I38">
        <v>2</v>
      </c>
      <c r="J38">
        <v>8</v>
      </c>
      <c r="K38" t="s">
        <v>63</v>
      </c>
      <c r="L38" t="s">
        <v>271</v>
      </c>
      <c r="M38" t="s">
        <v>19</v>
      </c>
    </row>
    <row r="39" spans="1:13" x14ac:dyDescent="0.25">
      <c r="A39" t="s">
        <v>243</v>
      </c>
      <c r="B39" t="s">
        <v>446</v>
      </c>
      <c r="C39">
        <v>4</v>
      </c>
      <c r="E39">
        <v>100</v>
      </c>
      <c r="F39">
        <v>8</v>
      </c>
      <c r="G39">
        <v>3</v>
      </c>
      <c r="H39">
        <v>2</v>
      </c>
      <c r="I39">
        <v>4</v>
      </c>
      <c r="J39">
        <v>8</v>
      </c>
      <c r="K39" t="s">
        <v>245</v>
      </c>
      <c r="L39" t="s">
        <v>6</v>
      </c>
      <c r="M39" t="s">
        <v>19</v>
      </c>
    </row>
    <row r="40" spans="1:13" x14ac:dyDescent="0.25">
      <c r="A40" t="s">
        <v>244</v>
      </c>
      <c r="B40" t="s">
        <v>447</v>
      </c>
      <c r="C40">
        <v>2</v>
      </c>
      <c r="E40">
        <v>115</v>
      </c>
      <c r="F40">
        <v>7</v>
      </c>
      <c r="G40">
        <v>3</v>
      </c>
      <c r="H40">
        <v>2</v>
      </c>
      <c r="I40">
        <v>3</v>
      </c>
      <c r="J40">
        <v>9</v>
      </c>
      <c r="K40" t="s">
        <v>616</v>
      </c>
      <c r="L40" t="s">
        <v>6</v>
      </c>
      <c r="M40" t="s">
        <v>276</v>
      </c>
    </row>
    <row r="41" spans="1:13" x14ac:dyDescent="0.25">
      <c r="A41" t="s">
        <v>246</v>
      </c>
      <c r="B41" t="s">
        <v>254</v>
      </c>
      <c r="C41">
        <v>16</v>
      </c>
      <c r="E41">
        <v>40</v>
      </c>
      <c r="F41">
        <v>6</v>
      </c>
      <c r="G41">
        <v>2</v>
      </c>
      <c r="H41">
        <v>3</v>
      </c>
      <c r="I41">
        <v>4</v>
      </c>
      <c r="J41">
        <v>8</v>
      </c>
      <c r="K41" t="s">
        <v>629</v>
      </c>
      <c r="L41" t="s">
        <v>16</v>
      </c>
      <c r="M41" t="s">
        <v>268</v>
      </c>
    </row>
    <row r="42" spans="1:13" x14ac:dyDescent="0.25">
      <c r="A42" t="s">
        <v>247</v>
      </c>
      <c r="B42" t="s">
        <v>255</v>
      </c>
      <c r="C42">
        <v>1</v>
      </c>
      <c r="E42">
        <v>45</v>
      </c>
      <c r="F42">
        <v>6</v>
      </c>
      <c r="G42">
        <v>2</v>
      </c>
      <c r="H42">
        <v>3</v>
      </c>
      <c r="I42">
        <v>4</v>
      </c>
      <c r="J42">
        <v>8</v>
      </c>
      <c r="K42" t="s">
        <v>628</v>
      </c>
      <c r="L42" t="s">
        <v>16</v>
      </c>
      <c r="M42" t="s">
        <v>268</v>
      </c>
    </row>
    <row r="43" spans="1:13" x14ac:dyDescent="0.25">
      <c r="A43" t="s">
        <v>248</v>
      </c>
      <c r="B43" t="s">
        <v>256</v>
      </c>
      <c r="C43">
        <v>1</v>
      </c>
      <c r="E43">
        <v>40</v>
      </c>
      <c r="F43">
        <v>6</v>
      </c>
      <c r="G43">
        <v>2</v>
      </c>
      <c r="H43">
        <v>3</v>
      </c>
      <c r="I43" s="4" t="s">
        <v>14</v>
      </c>
      <c r="J43">
        <v>8</v>
      </c>
      <c r="K43" t="s">
        <v>631</v>
      </c>
      <c r="L43" t="s">
        <v>16</v>
      </c>
      <c r="M43" t="s">
        <v>269</v>
      </c>
    </row>
    <row r="44" spans="1:13" x14ac:dyDescent="0.25">
      <c r="A44" t="s">
        <v>249</v>
      </c>
      <c r="B44" t="s">
        <v>257</v>
      </c>
      <c r="C44">
        <v>1</v>
      </c>
      <c r="E44">
        <v>70</v>
      </c>
      <c r="F44">
        <v>3</v>
      </c>
      <c r="G44">
        <v>7</v>
      </c>
      <c r="H44">
        <v>3</v>
      </c>
      <c r="I44" s="4" t="s">
        <v>14</v>
      </c>
      <c r="J44">
        <v>8</v>
      </c>
      <c r="K44" t="s">
        <v>632</v>
      </c>
      <c r="L44" t="s">
        <v>19</v>
      </c>
      <c r="M44" t="s">
        <v>6</v>
      </c>
    </row>
    <row r="45" spans="1:13" x14ac:dyDescent="0.25">
      <c r="A45" t="s">
        <v>250</v>
      </c>
      <c r="B45" t="s">
        <v>258</v>
      </c>
      <c r="C45">
        <v>1</v>
      </c>
      <c r="E45">
        <v>75</v>
      </c>
      <c r="F45">
        <v>7</v>
      </c>
      <c r="G45">
        <v>2</v>
      </c>
      <c r="H45">
        <v>3</v>
      </c>
      <c r="I45">
        <v>5</v>
      </c>
      <c r="J45">
        <v>8</v>
      </c>
      <c r="K45" t="s">
        <v>633</v>
      </c>
      <c r="L45" t="s">
        <v>16</v>
      </c>
      <c r="M45" t="s">
        <v>268</v>
      </c>
    </row>
    <row r="46" spans="1:13" x14ac:dyDescent="0.25">
      <c r="A46" t="s">
        <v>251</v>
      </c>
      <c r="B46" s="4" t="s">
        <v>259</v>
      </c>
      <c r="C46">
        <v>1</v>
      </c>
      <c r="E46">
        <v>65</v>
      </c>
      <c r="F46">
        <v>6</v>
      </c>
      <c r="G46">
        <v>2</v>
      </c>
      <c r="H46">
        <v>3</v>
      </c>
      <c r="I46">
        <v>6</v>
      </c>
      <c r="J46">
        <v>8</v>
      </c>
      <c r="K46" t="s">
        <v>634</v>
      </c>
      <c r="L46" t="s">
        <v>16</v>
      </c>
      <c r="M46" t="s">
        <v>268</v>
      </c>
    </row>
    <row r="47" spans="1:13" x14ac:dyDescent="0.25">
      <c r="A47" t="s">
        <v>252</v>
      </c>
      <c r="B47" t="s">
        <v>260</v>
      </c>
      <c r="C47">
        <v>1</v>
      </c>
      <c r="E47">
        <v>60</v>
      </c>
      <c r="F47">
        <v>6</v>
      </c>
      <c r="G47">
        <v>2</v>
      </c>
      <c r="H47">
        <v>3</v>
      </c>
      <c r="I47">
        <v>6</v>
      </c>
      <c r="J47">
        <v>8</v>
      </c>
      <c r="K47" t="s">
        <v>635</v>
      </c>
      <c r="L47" t="s">
        <v>16</v>
      </c>
      <c r="M47" t="s">
        <v>269</v>
      </c>
    </row>
    <row r="48" spans="1:13" x14ac:dyDescent="0.25">
      <c r="A48" t="s">
        <v>253</v>
      </c>
      <c r="B48" t="s">
        <v>191</v>
      </c>
      <c r="C48">
        <v>2</v>
      </c>
      <c r="E48">
        <v>115</v>
      </c>
      <c r="F48">
        <v>4</v>
      </c>
      <c r="G48">
        <v>5</v>
      </c>
      <c r="H48">
        <v>5</v>
      </c>
      <c r="I48">
        <v>5</v>
      </c>
      <c r="J48">
        <v>10</v>
      </c>
      <c r="K48" t="s">
        <v>619</v>
      </c>
      <c r="L48" t="s">
        <v>19</v>
      </c>
      <c r="M48" t="s">
        <v>271</v>
      </c>
    </row>
    <row r="49" spans="1:13" x14ac:dyDescent="0.25">
      <c r="A49" t="s">
        <v>261</v>
      </c>
      <c r="B49" t="s">
        <v>265</v>
      </c>
      <c r="C49">
        <v>16</v>
      </c>
      <c r="E49">
        <v>30</v>
      </c>
      <c r="F49">
        <v>5</v>
      </c>
      <c r="G49">
        <v>2</v>
      </c>
      <c r="H49">
        <v>3</v>
      </c>
      <c r="I49">
        <v>4</v>
      </c>
      <c r="J49">
        <v>7</v>
      </c>
      <c r="K49" t="s">
        <v>629</v>
      </c>
      <c r="L49" t="s">
        <v>16</v>
      </c>
      <c r="M49" t="s">
        <v>269</v>
      </c>
    </row>
    <row r="50" spans="1:13" x14ac:dyDescent="0.25">
      <c r="A50" t="s">
        <v>262</v>
      </c>
      <c r="B50" t="s">
        <v>266</v>
      </c>
      <c r="C50">
        <v>2</v>
      </c>
      <c r="E50">
        <v>50</v>
      </c>
      <c r="F50">
        <v>5</v>
      </c>
      <c r="G50">
        <v>2</v>
      </c>
      <c r="H50">
        <v>3</v>
      </c>
      <c r="I50">
        <v>3</v>
      </c>
      <c r="J50">
        <v>8</v>
      </c>
      <c r="K50" t="s">
        <v>636</v>
      </c>
      <c r="L50" t="s">
        <v>270</v>
      </c>
      <c r="M50" t="s">
        <v>269</v>
      </c>
    </row>
    <row r="51" spans="1:13" x14ac:dyDescent="0.25">
      <c r="A51" t="s">
        <v>263</v>
      </c>
      <c r="B51" t="s">
        <v>267</v>
      </c>
      <c r="C51">
        <v>2</v>
      </c>
      <c r="E51">
        <v>55</v>
      </c>
      <c r="F51">
        <v>5</v>
      </c>
      <c r="G51">
        <v>2</v>
      </c>
      <c r="H51">
        <v>3</v>
      </c>
      <c r="I51">
        <v>5</v>
      </c>
      <c r="J51">
        <v>7</v>
      </c>
      <c r="K51" t="s">
        <v>637</v>
      </c>
      <c r="L51" t="s">
        <v>16</v>
      </c>
      <c r="M51" t="s">
        <v>269</v>
      </c>
    </row>
    <row r="52" spans="1:13" x14ac:dyDescent="0.25">
      <c r="A52" t="s">
        <v>264</v>
      </c>
      <c r="B52" t="s">
        <v>150</v>
      </c>
      <c r="C52">
        <v>2</v>
      </c>
      <c r="E52">
        <v>120</v>
      </c>
      <c r="F52">
        <v>2</v>
      </c>
      <c r="G52">
        <v>6</v>
      </c>
      <c r="H52">
        <v>5</v>
      </c>
      <c r="I52">
        <v>5</v>
      </c>
      <c r="J52">
        <v>11</v>
      </c>
      <c r="K52" t="s">
        <v>638</v>
      </c>
      <c r="L52" t="s">
        <v>19</v>
      </c>
      <c r="M52" t="s">
        <v>271</v>
      </c>
    </row>
    <row r="53" spans="1:13" x14ac:dyDescent="0.25">
      <c r="A53" t="s">
        <v>421</v>
      </c>
      <c r="B53" t="s">
        <v>425</v>
      </c>
      <c r="C53">
        <v>16</v>
      </c>
      <c r="E53">
        <v>70</v>
      </c>
      <c r="F53">
        <v>6</v>
      </c>
      <c r="G53">
        <v>3</v>
      </c>
      <c r="H53">
        <v>2</v>
      </c>
      <c r="I53">
        <v>4</v>
      </c>
      <c r="J53">
        <v>9</v>
      </c>
      <c r="K53" t="s">
        <v>152</v>
      </c>
      <c r="L53" t="s">
        <v>6</v>
      </c>
      <c r="M53" t="s">
        <v>276</v>
      </c>
    </row>
    <row r="54" spans="1:13" x14ac:dyDescent="0.25">
      <c r="A54" t="s">
        <v>422</v>
      </c>
      <c r="B54" t="s">
        <v>456</v>
      </c>
      <c r="C54">
        <v>2</v>
      </c>
      <c r="E54">
        <v>100</v>
      </c>
      <c r="F54">
        <v>6</v>
      </c>
      <c r="G54">
        <v>3</v>
      </c>
      <c r="H54">
        <v>2</v>
      </c>
      <c r="I54">
        <v>2</v>
      </c>
      <c r="J54">
        <v>9</v>
      </c>
      <c r="K54" t="s">
        <v>568</v>
      </c>
      <c r="L54" t="s">
        <v>271</v>
      </c>
      <c r="M54" t="s">
        <v>19</v>
      </c>
    </row>
    <row r="55" spans="1:13" x14ac:dyDescent="0.25">
      <c r="A55" t="s">
        <v>423</v>
      </c>
      <c r="B55" t="s">
        <v>569</v>
      </c>
      <c r="C55">
        <v>4</v>
      </c>
      <c r="E55">
        <v>90</v>
      </c>
      <c r="F55">
        <v>8</v>
      </c>
      <c r="G55">
        <v>3</v>
      </c>
      <c r="H55">
        <v>2</v>
      </c>
      <c r="I55">
        <v>5</v>
      </c>
      <c r="J55">
        <v>8</v>
      </c>
      <c r="K55" t="s">
        <v>20</v>
      </c>
      <c r="L55" t="s">
        <v>6</v>
      </c>
      <c r="M55" t="s">
        <v>19</v>
      </c>
    </row>
    <row r="56" spans="1:13" x14ac:dyDescent="0.25">
      <c r="A56" t="s">
        <v>424</v>
      </c>
      <c r="B56" t="s">
        <v>570</v>
      </c>
      <c r="C56">
        <v>2</v>
      </c>
      <c r="E56">
        <v>100</v>
      </c>
      <c r="F56">
        <v>7</v>
      </c>
      <c r="G56">
        <v>3</v>
      </c>
      <c r="H56">
        <v>2</v>
      </c>
      <c r="I56">
        <v>4</v>
      </c>
      <c r="J56">
        <v>9</v>
      </c>
      <c r="K56" t="s">
        <v>32</v>
      </c>
      <c r="L56" t="s">
        <v>6</v>
      </c>
      <c r="M56" t="s">
        <v>276</v>
      </c>
    </row>
    <row r="57" spans="1:13" x14ac:dyDescent="0.25">
      <c r="A57" t="s">
        <v>292</v>
      </c>
      <c r="B57" t="s">
        <v>298</v>
      </c>
      <c r="C57">
        <v>16</v>
      </c>
      <c r="E57">
        <v>50</v>
      </c>
      <c r="F57">
        <v>6</v>
      </c>
      <c r="G57">
        <v>3</v>
      </c>
      <c r="H57">
        <v>3</v>
      </c>
      <c r="I57">
        <v>4</v>
      </c>
      <c r="J57">
        <v>9</v>
      </c>
      <c r="K57" t="s">
        <v>152</v>
      </c>
      <c r="L57" t="s">
        <v>17</v>
      </c>
      <c r="M57" t="s">
        <v>274</v>
      </c>
    </row>
    <row r="58" spans="1:13" x14ac:dyDescent="0.25">
      <c r="A58" t="s">
        <v>293</v>
      </c>
      <c r="B58" t="s">
        <v>448</v>
      </c>
      <c r="C58">
        <v>2</v>
      </c>
      <c r="E58">
        <v>80</v>
      </c>
      <c r="F58">
        <v>6</v>
      </c>
      <c r="G58">
        <v>3</v>
      </c>
      <c r="H58">
        <v>3</v>
      </c>
      <c r="I58">
        <v>2</v>
      </c>
      <c r="J58">
        <v>9</v>
      </c>
      <c r="K58" t="s">
        <v>299</v>
      </c>
      <c r="L58" t="s">
        <v>277</v>
      </c>
      <c r="M58" t="s">
        <v>274</v>
      </c>
    </row>
    <row r="59" spans="1:13" x14ac:dyDescent="0.25">
      <c r="A59" t="s">
        <v>294</v>
      </c>
      <c r="B59" t="s">
        <v>449</v>
      </c>
      <c r="C59">
        <v>4</v>
      </c>
      <c r="E59">
        <v>65</v>
      </c>
      <c r="F59">
        <v>8</v>
      </c>
      <c r="G59">
        <v>2</v>
      </c>
      <c r="H59">
        <v>3</v>
      </c>
      <c r="I59">
        <v>5</v>
      </c>
      <c r="J59">
        <v>8</v>
      </c>
      <c r="K59" t="s">
        <v>300</v>
      </c>
      <c r="L59" t="s">
        <v>6</v>
      </c>
      <c r="M59" t="s">
        <v>280</v>
      </c>
    </row>
    <row r="60" spans="1:13" x14ac:dyDescent="0.25">
      <c r="A60" t="s">
        <v>295</v>
      </c>
      <c r="B60" t="s">
        <v>450</v>
      </c>
      <c r="C60">
        <v>4</v>
      </c>
      <c r="E60">
        <v>85</v>
      </c>
      <c r="F60">
        <v>7</v>
      </c>
      <c r="G60">
        <v>3</v>
      </c>
      <c r="H60">
        <v>3</v>
      </c>
      <c r="I60">
        <v>4</v>
      </c>
      <c r="J60">
        <v>9</v>
      </c>
      <c r="K60" t="s">
        <v>32</v>
      </c>
      <c r="L60" t="s">
        <v>269</v>
      </c>
      <c r="M60" t="s">
        <v>280</v>
      </c>
    </row>
    <row r="61" spans="1:13" x14ac:dyDescent="0.25">
      <c r="A61" t="s">
        <v>296</v>
      </c>
      <c r="B61" t="s">
        <v>301</v>
      </c>
      <c r="C61">
        <v>3</v>
      </c>
      <c r="E61">
        <v>30</v>
      </c>
      <c r="F61">
        <v>5</v>
      </c>
      <c r="G61">
        <v>2</v>
      </c>
      <c r="H61">
        <v>3</v>
      </c>
      <c r="I61">
        <v>4</v>
      </c>
      <c r="J61">
        <v>7</v>
      </c>
      <c r="K61" t="s">
        <v>629</v>
      </c>
      <c r="L61" t="s">
        <v>16</v>
      </c>
      <c r="M61" t="s">
        <v>269</v>
      </c>
    </row>
    <row r="62" spans="1:13" x14ac:dyDescent="0.25">
      <c r="A62" t="s">
        <v>297</v>
      </c>
      <c r="B62" t="s">
        <v>93</v>
      </c>
      <c r="C62">
        <v>1</v>
      </c>
      <c r="E62">
        <v>140</v>
      </c>
      <c r="F62">
        <v>5</v>
      </c>
      <c r="G62">
        <v>5</v>
      </c>
      <c r="H62">
        <v>4</v>
      </c>
      <c r="I62">
        <v>5</v>
      </c>
      <c r="J62">
        <v>10</v>
      </c>
      <c r="K62" t="s">
        <v>621</v>
      </c>
      <c r="L62" t="s">
        <v>19</v>
      </c>
      <c r="M62" t="s">
        <v>6</v>
      </c>
    </row>
    <row r="63" spans="1:13" x14ac:dyDescent="0.25">
      <c r="A63" t="s">
        <v>302</v>
      </c>
      <c r="B63" t="s">
        <v>307</v>
      </c>
      <c r="C63">
        <v>12</v>
      </c>
      <c r="E63">
        <v>45</v>
      </c>
      <c r="F63">
        <v>6</v>
      </c>
      <c r="G63">
        <v>3</v>
      </c>
      <c r="H63">
        <v>4</v>
      </c>
      <c r="I63">
        <v>4</v>
      </c>
      <c r="J63">
        <v>8</v>
      </c>
      <c r="K63" t="s">
        <v>35</v>
      </c>
      <c r="L63" t="s">
        <v>17</v>
      </c>
      <c r="M63" t="s">
        <v>274</v>
      </c>
    </row>
    <row r="64" spans="1:13" x14ac:dyDescent="0.25">
      <c r="A64" t="s">
        <v>303</v>
      </c>
      <c r="B64" t="s">
        <v>308</v>
      </c>
      <c r="C64">
        <v>2</v>
      </c>
      <c r="E64">
        <v>75</v>
      </c>
      <c r="F64">
        <v>6</v>
      </c>
      <c r="G64">
        <v>3</v>
      </c>
      <c r="H64">
        <v>3</v>
      </c>
      <c r="I64">
        <v>3</v>
      </c>
      <c r="J64">
        <v>9</v>
      </c>
      <c r="K64" t="s">
        <v>309</v>
      </c>
      <c r="L64" t="s">
        <v>277</v>
      </c>
      <c r="M64" t="s">
        <v>274</v>
      </c>
    </row>
    <row r="65" spans="1:13" x14ac:dyDescent="0.25">
      <c r="A65" t="s">
        <v>304</v>
      </c>
      <c r="B65" t="s">
        <v>310</v>
      </c>
      <c r="C65">
        <v>2</v>
      </c>
      <c r="E65">
        <v>105</v>
      </c>
      <c r="F65">
        <v>7</v>
      </c>
      <c r="G65">
        <v>3</v>
      </c>
      <c r="H65">
        <v>3</v>
      </c>
      <c r="I65">
        <v>4</v>
      </c>
      <c r="J65">
        <v>9</v>
      </c>
      <c r="K65" t="s">
        <v>311</v>
      </c>
      <c r="L65" t="s">
        <v>6</v>
      </c>
      <c r="M65" t="s">
        <v>276</v>
      </c>
    </row>
    <row r="66" spans="1:13" x14ac:dyDescent="0.25">
      <c r="A66" t="s">
        <v>305</v>
      </c>
      <c r="B66" t="s">
        <v>607</v>
      </c>
      <c r="C66">
        <v>4</v>
      </c>
      <c r="E66">
        <v>90</v>
      </c>
      <c r="F66">
        <v>6</v>
      </c>
      <c r="G66">
        <v>3</v>
      </c>
      <c r="H66">
        <v>3</v>
      </c>
      <c r="I66">
        <v>5</v>
      </c>
      <c r="J66">
        <v>9</v>
      </c>
      <c r="K66" t="s">
        <v>312</v>
      </c>
      <c r="L66" t="s">
        <v>269</v>
      </c>
      <c r="M66" t="s">
        <v>16</v>
      </c>
    </row>
    <row r="67" spans="1:13" x14ac:dyDescent="0.25">
      <c r="A67" t="s">
        <v>306</v>
      </c>
      <c r="B67" t="s">
        <v>93</v>
      </c>
      <c r="C67">
        <v>1</v>
      </c>
      <c r="E67">
        <v>140</v>
      </c>
      <c r="F67">
        <v>5</v>
      </c>
      <c r="G67">
        <v>5</v>
      </c>
      <c r="H67">
        <v>4</v>
      </c>
      <c r="I67">
        <v>5</v>
      </c>
      <c r="J67">
        <v>10</v>
      </c>
      <c r="K67" t="s">
        <v>621</v>
      </c>
      <c r="L67" t="s">
        <v>19</v>
      </c>
      <c r="M67" t="s">
        <v>6</v>
      </c>
    </row>
    <row r="68" spans="1:13" x14ac:dyDescent="0.25">
      <c r="A68" t="s">
        <v>426</v>
      </c>
      <c r="B68" t="s">
        <v>697</v>
      </c>
      <c r="C68">
        <v>16</v>
      </c>
      <c r="E68">
        <v>50</v>
      </c>
      <c r="F68">
        <v>6</v>
      </c>
      <c r="G68">
        <v>3</v>
      </c>
      <c r="H68">
        <v>3</v>
      </c>
      <c r="I68" s="4">
        <v>4</v>
      </c>
      <c r="J68">
        <v>8</v>
      </c>
      <c r="K68" t="s">
        <v>537</v>
      </c>
      <c r="L68" t="s">
        <v>278</v>
      </c>
      <c r="M68" t="s">
        <v>598</v>
      </c>
    </row>
    <row r="69" spans="1:13" x14ac:dyDescent="0.25">
      <c r="A69" t="s">
        <v>427</v>
      </c>
      <c r="B69" t="s">
        <v>698</v>
      </c>
      <c r="C69">
        <v>4</v>
      </c>
      <c r="E69">
        <v>70</v>
      </c>
      <c r="F69">
        <v>6</v>
      </c>
      <c r="G69">
        <v>3</v>
      </c>
      <c r="H69">
        <v>3</v>
      </c>
      <c r="I69" s="4">
        <v>4</v>
      </c>
      <c r="J69">
        <v>9</v>
      </c>
      <c r="K69" t="s">
        <v>699</v>
      </c>
      <c r="L69" t="s">
        <v>272</v>
      </c>
      <c r="M69" t="s">
        <v>270</v>
      </c>
    </row>
    <row r="70" spans="1:13" x14ac:dyDescent="0.25">
      <c r="A70" t="s">
        <v>428</v>
      </c>
      <c r="B70" t="s">
        <v>700</v>
      </c>
      <c r="C70">
        <v>4</v>
      </c>
      <c r="E70">
        <v>110</v>
      </c>
      <c r="F70">
        <v>5</v>
      </c>
      <c r="G70">
        <v>4</v>
      </c>
      <c r="H70">
        <v>4</v>
      </c>
      <c r="I70" s="4">
        <v>6</v>
      </c>
      <c r="J70">
        <v>10</v>
      </c>
      <c r="K70" t="s">
        <v>537</v>
      </c>
      <c r="L70" t="s">
        <v>272</v>
      </c>
      <c r="M70" t="s">
        <v>16</v>
      </c>
    </row>
    <row r="71" spans="1:13" x14ac:dyDescent="0.25">
      <c r="A71" t="s">
        <v>429</v>
      </c>
      <c r="B71" t="s">
        <v>701</v>
      </c>
      <c r="C71">
        <v>1</v>
      </c>
      <c r="E71">
        <v>160</v>
      </c>
      <c r="F71">
        <v>5</v>
      </c>
      <c r="G71">
        <v>5</v>
      </c>
      <c r="H71">
        <v>4</v>
      </c>
      <c r="I71" s="4" t="s">
        <v>14</v>
      </c>
      <c r="J71">
        <v>9</v>
      </c>
      <c r="K71" t="s">
        <v>702</v>
      </c>
      <c r="L71" t="s">
        <v>273</v>
      </c>
      <c r="M71" t="s">
        <v>6</v>
      </c>
    </row>
    <row r="72" spans="1:13" x14ac:dyDescent="0.25">
      <c r="A72" t="s">
        <v>313</v>
      </c>
      <c r="B72" t="s">
        <v>317</v>
      </c>
      <c r="C72">
        <v>12</v>
      </c>
      <c r="E72">
        <v>60</v>
      </c>
      <c r="F72">
        <v>8</v>
      </c>
      <c r="G72">
        <v>2</v>
      </c>
      <c r="H72">
        <v>3</v>
      </c>
      <c r="I72">
        <v>4</v>
      </c>
      <c r="J72">
        <v>8</v>
      </c>
      <c r="K72" t="s">
        <v>639</v>
      </c>
      <c r="L72" t="s">
        <v>16</v>
      </c>
      <c r="M72" t="s">
        <v>268</v>
      </c>
    </row>
    <row r="73" spans="1:13" x14ac:dyDescent="0.25">
      <c r="A73" t="s">
        <v>314</v>
      </c>
      <c r="B73" t="s">
        <v>318</v>
      </c>
      <c r="C73">
        <v>2</v>
      </c>
      <c r="E73">
        <v>70</v>
      </c>
      <c r="F73">
        <v>7</v>
      </c>
      <c r="G73">
        <v>2</v>
      </c>
      <c r="H73">
        <v>3</v>
      </c>
      <c r="I73">
        <v>3</v>
      </c>
      <c r="J73">
        <v>8</v>
      </c>
      <c r="K73" t="s">
        <v>640</v>
      </c>
      <c r="L73" t="s">
        <v>16</v>
      </c>
      <c r="M73" t="s">
        <v>268</v>
      </c>
    </row>
    <row r="74" spans="1:13" x14ac:dyDescent="0.25">
      <c r="A74" t="s">
        <v>315</v>
      </c>
      <c r="B74" t="s">
        <v>319</v>
      </c>
      <c r="C74">
        <v>6</v>
      </c>
      <c r="E74">
        <v>85</v>
      </c>
      <c r="F74">
        <v>6</v>
      </c>
      <c r="G74">
        <v>4</v>
      </c>
      <c r="H74">
        <v>5</v>
      </c>
      <c r="I74">
        <v>6</v>
      </c>
      <c r="J74">
        <v>10</v>
      </c>
      <c r="K74" t="s">
        <v>152</v>
      </c>
      <c r="L74" t="s">
        <v>269</v>
      </c>
      <c r="M74" t="s">
        <v>16</v>
      </c>
    </row>
    <row r="75" spans="1:13" x14ac:dyDescent="0.25">
      <c r="A75" t="s">
        <v>316</v>
      </c>
      <c r="B75" t="s">
        <v>320</v>
      </c>
      <c r="C75">
        <v>1</v>
      </c>
      <c r="E75">
        <v>140</v>
      </c>
      <c r="F75">
        <v>6</v>
      </c>
      <c r="G75">
        <v>5</v>
      </c>
      <c r="H75">
        <v>5</v>
      </c>
      <c r="I75" s="4" t="s">
        <v>14</v>
      </c>
      <c r="J75">
        <v>10</v>
      </c>
      <c r="K75" t="s">
        <v>641</v>
      </c>
      <c r="L75" t="s">
        <v>19</v>
      </c>
      <c r="M75" t="s">
        <v>6</v>
      </c>
    </row>
    <row r="76" spans="1:13" x14ac:dyDescent="0.25">
      <c r="A76" t="s">
        <v>321</v>
      </c>
      <c r="B76" t="s">
        <v>590</v>
      </c>
      <c r="C76">
        <v>16</v>
      </c>
      <c r="E76">
        <v>40</v>
      </c>
      <c r="F76">
        <v>4</v>
      </c>
      <c r="G76">
        <v>3</v>
      </c>
      <c r="H76">
        <v>4</v>
      </c>
      <c r="I76" s="4" t="s">
        <v>14</v>
      </c>
      <c r="J76">
        <v>9</v>
      </c>
      <c r="K76" t="s">
        <v>327</v>
      </c>
      <c r="L76" t="s">
        <v>17</v>
      </c>
      <c r="M76" t="s">
        <v>274</v>
      </c>
    </row>
    <row r="77" spans="1:13" x14ac:dyDescent="0.25">
      <c r="A77" t="s">
        <v>322</v>
      </c>
      <c r="B77" t="s">
        <v>591</v>
      </c>
      <c r="C77">
        <v>2</v>
      </c>
      <c r="E77">
        <v>75</v>
      </c>
      <c r="F77">
        <v>7</v>
      </c>
      <c r="G77">
        <v>3</v>
      </c>
      <c r="H77">
        <v>3</v>
      </c>
      <c r="I77">
        <v>4</v>
      </c>
      <c r="J77">
        <v>8</v>
      </c>
      <c r="K77" t="s">
        <v>23</v>
      </c>
      <c r="L77" t="s">
        <v>6</v>
      </c>
      <c r="M77" t="s">
        <v>276</v>
      </c>
    </row>
    <row r="78" spans="1:13" x14ac:dyDescent="0.25">
      <c r="A78" t="s">
        <v>323</v>
      </c>
      <c r="B78" t="s">
        <v>329</v>
      </c>
      <c r="C78">
        <v>2</v>
      </c>
      <c r="E78">
        <v>95</v>
      </c>
      <c r="F78">
        <v>6</v>
      </c>
      <c r="G78">
        <v>3</v>
      </c>
      <c r="H78">
        <v>3</v>
      </c>
      <c r="I78" s="4" t="s">
        <v>14</v>
      </c>
      <c r="J78">
        <v>9</v>
      </c>
      <c r="K78" t="s">
        <v>642</v>
      </c>
      <c r="L78" t="s">
        <v>269</v>
      </c>
      <c r="M78" t="s">
        <v>16</v>
      </c>
    </row>
    <row r="79" spans="1:13" x14ac:dyDescent="0.25">
      <c r="A79" t="s">
        <v>324</v>
      </c>
      <c r="B79" t="s">
        <v>330</v>
      </c>
      <c r="C79">
        <v>2</v>
      </c>
      <c r="E79">
        <v>125</v>
      </c>
      <c r="F79">
        <v>8</v>
      </c>
      <c r="G79">
        <v>3</v>
      </c>
      <c r="H79">
        <v>3</v>
      </c>
      <c r="I79">
        <v>4</v>
      </c>
      <c r="J79">
        <v>9</v>
      </c>
      <c r="K79" t="s">
        <v>643</v>
      </c>
      <c r="L79" t="s">
        <v>6</v>
      </c>
      <c r="M79" t="s">
        <v>276</v>
      </c>
    </row>
    <row r="80" spans="1:13" x14ac:dyDescent="0.25">
      <c r="A80" t="s">
        <v>325</v>
      </c>
      <c r="B80" t="s">
        <v>331</v>
      </c>
      <c r="C80">
        <v>2</v>
      </c>
      <c r="E80">
        <v>115</v>
      </c>
      <c r="F80">
        <v>4</v>
      </c>
      <c r="G80">
        <v>4</v>
      </c>
      <c r="H80">
        <v>4</v>
      </c>
      <c r="I80" s="4" t="s">
        <v>14</v>
      </c>
      <c r="J80">
        <v>10</v>
      </c>
      <c r="K80" t="s">
        <v>332</v>
      </c>
      <c r="L80" t="s">
        <v>269</v>
      </c>
      <c r="M80" t="s">
        <v>16</v>
      </c>
    </row>
    <row r="81" spans="1:13" x14ac:dyDescent="0.25">
      <c r="A81" t="s">
        <v>496</v>
      </c>
      <c r="B81" t="s">
        <v>789</v>
      </c>
      <c r="C81">
        <v>16</v>
      </c>
      <c r="E81">
        <v>50</v>
      </c>
      <c r="F81">
        <v>6</v>
      </c>
      <c r="G81">
        <v>3</v>
      </c>
      <c r="H81">
        <v>3</v>
      </c>
      <c r="I81">
        <v>4</v>
      </c>
      <c r="J81">
        <v>8</v>
      </c>
      <c r="K81" t="s">
        <v>790</v>
      </c>
      <c r="L81" t="s">
        <v>17</v>
      </c>
      <c r="M81" t="s">
        <v>791</v>
      </c>
    </row>
    <row r="82" spans="1:13" x14ac:dyDescent="0.25">
      <c r="A82" t="s">
        <v>497</v>
      </c>
      <c r="B82" t="s">
        <v>571</v>
      </c>
      <c r="C82">
        <v>2</v>
      </c>
      <c r="E82">
        <v>90</v>
      </c>
      <c r="F82">
        <v>6</v>
      </c>
      <c r="G82">
        <v>3</v>
      </c>
      <c r="H82">
        <v>3</v>
      </c>
      <c r="I82">
        <v>5</v>
      </c>
      <c r="J82">
        <v>8</v>
      </c>
      <c r="K82" t="s">
        <v>674</v>
      </c>
      <c r="L82" t="s">
        <v>269</v>
      </c>
      <c r="M82" t="s">
        <v>270</v>
      </c>
    </row>
    <row r="83" spans="1:13" x14ac:dyDescent="0.25">
      <c r="A83" t="s">
        <v>498</v>
      </c>
      <c r="B83" t="s">
        <v>792</v>
      </c>
      <c r="C83">
        <v>2</v>
      </c>
      <c r="E83">
        <v>20</v>
      </c>
      <c r="F83">
        <v>5</v>
      </c>
      <c r="G83">
        <v>1</v>
      </c>
      <c r="H83">
        <v>3</v>
      </c>
      <c r="I83" s="4" t="s">
        <v>14</v>
      </c>
      <c r="J83">
        <v>6</v>
      </c>
      <c r="K83" t="s">
        <v>793</v>
      </c>
      <c r="L83" t="s">
        <v>14</v>
      </c>
      <c r="M83" t="s">
        <v>16</v>
      </c>
    </row>
    <row r="84" spans="1:13" x14ac:dyDescent="0.25">
      <c r="A84" t="s">
        <v>499</v>
      </c>
      <c r="B84" t="s">
        <v>794</v>
      </c>
      <c r="C84">
        <v>2</v>
      </c>
      <c r="E84">
        <v>95</v>
      </c>
      <c r="F84">
        <v>7</v>
      </c>
      <c r="G84">
        <v>3</v>
      </c>
      <c r="H84">
        <v>3</v>
      </c>
      <c r="I84">
        <v>3</v>
      </c>
      <c r="J84">
        <v>8</v>
      </c>
      <c r="K84" t="s">
        <v>795</v>
      </c>
      <c r="L84" t="s">
        <v>271</v>
      </c>
      <c r="M84" t="s">
        <v>19</v>
      </c>
    </row>
    <row r="85" spans="1:13" x14ac:dyDescent="0.25">
      <c r="A85" t="s">
        <v>500</v>
      </c>
      <c r="B85" t="s">
        <v>609</v>
      </c>
      <c r="C85">
        <v>2</v>
      </c>
      <c r="E85">
        <v>105</v>
      </c>
      <c r="F85">
        <v>6</v>
      </c>
      <c r="G85">
        <v>4</v>
      </c>
      <c r="H85">
        <v>4</v>
      </c>
      <c r="I85" s="4" t="s">
        <v>14</v>
      </c>
      <c r="J85">
        <v>9</v>
      </c>
      <c r="K85" t="s">
        <v>537</v>
      </c>
      <c r="L85" t="s">
        <v>269</v>
      </c>
      <c r="M85" t="s">
        <v>16</v>
      </c>
    </row>
    <row r="86" spans="1:13" x14ac:dyDescent="0.25">
      <c r="A86" t="s">
        <v>501</v>
      </c>
      <c r="B86" t="s">
        <v>502</v>
      </c>
      <c r="C86">
        <v>1</v>
      </c>
      <c r="E86">
        <v>140</v>
      </c>
      <c r="F86">
        <v>5</v>
      </c>
      <c r="G86">
        <v>5</v>
      </c>
      <c r="H86">
        <v>4</v>
      </c>
      <c r="I86" s="4" t="s">
        <v>14</v>
      </c>
      <c r="J86">
        <v>9</v>
      </c>
      <c r="K86" t="s">
        <v>675</v>
      </c>
      <c r="L86" t="s">
        <v>19</v>
      </c>
      <c r="M86" t="s">
        <v>6</v>
      </c>
    </row>
    <row r="87" spans="1:13" x14ac:dyDescent="0.25">
      <c r="A87" t="s">
        <v>333</v>
      </c>
      <c r="B87" t="s">
        <v>337</v>
      </c>
      <c r="C87">
        <v>12</v>
      </c>
      <c r="E87">
        <v>35</v>
      </c>
      <c r="F87">
        <v>5</v>
      </c>
      <c r="G87">
        <v>3</v>
      </c>
      <c r="H87">
        <v>4</v>
      </c>
      <c r="I87">
        <v>6</v>
      </c>
      <c r="J87">
        <v>9</v>
      </c>
      <c r="K87" t="s">
        <v>644</v>
      </c>
      <c r="L87" t="s">
        <v>278</v>
      </c>
      <c r="M87" t="s">
        <v>274</v>
      </c>
    </row>
    <row r="88" spans="1:13" x14ac:dyDescent="0.25">
      <c r="A88" t="s">
        <v>334</v>
      </c>
      <c r="B88" t="s">
        <v>338</v>
      </c>
      <c r="C88">
        <v>4</v>
      </c>
      <c r="E88">
        <v>75</v>
      </c>
      <c r="F88">
        <v>6</v>
      </c>
      <c r="G88">
        <v>3</v>
      </c>
      <c r="H88">
        <v>3</v>
      </c>
      <c r="I88">
        <v>4</v>
      </c>
      <c r="J88">
        <v>9</v>
      </c>
      <c r="K88" t="s">
        <v>339</v>
      </c>
      <c r="L88" t="s">
        <v>272</v>
      </c>
      <c r="M88" t="s">
        <v>270</v>
      </c>
    </row>
    <row r="89" spans="1:13" x14ac:dyDescent="0.25">
      <c r="A89" t="s">
        <v>335</v>
      </c>
      <c r="B89" t="s">
        <v>340</v>
      </c>
      <c r="C89">
        <v>4</v>
      </c>
      <c r="E89">
        <v>115</v>
      </c>
      <c r="F89">
        <v>4</v>
      </c>
      <c r="G89">
        <v>4</v>
      </c>
      <c r="H89">
        <v>4</v>
      </c>
      <c r="I89">
        <v>6</v>
      </c>
      <c r="J89">
        <v>10</v>
      </c>
      <c r="K89" t="s">
        <v>645</v>
      </c>
      <c r="L89" t="s">
        <v>272</v>
      </c>
      <c r="M89" t="s">
        <v>16</v>
      </c>
    </row>
    <row r="90" spans="1:13" x14ac:dyDescent="0.25">
      <c r="A90" t="s">
        <v>336</v>
      </c>
      <c r="B90" t="s">
        <v>341</v>
      </c>
      <c r="C90">
        <v>1</v>
      </c>
      <c r="E90">
        <v>140</v>
      </c>
      <c r="F90">
        <v>4</v>
      </c>
      <c r="G90">
        <v>5</v>
      </c>
      <c r="H90">
        <v>5</v>
      </c>
      <c r="I90" s="4" t="s">
        <v>14</v>
      </c>
      <c r="J90">
        <v>10</v>
      </c>
      <c r="K90" t="s">
        <v>646</v>
      </c>
      <c r="L90" t="s">
        <v>19</v>
      </c>
      <c r="M90" t="s">
        <v>279</v>
      </c>
    </row>
    <row r="91" spans="1:13" x14ac:dyDescent="0.25">
      <c r="A91" t="s">
        <v>342</v>
      </c>
      <c r="B91" t="s">
        <v>345</v>
      </c>
      <c r="C91">
        <v>16</v>
      </c>
      <c r="E91">
        <v>-15</v>
      </c>
      <c r="F91">
        <v>5</v>
      </c>
      <c r="G91">
        <v>1</v>
      </c>
      <c r="H91">
        <v>3</v>
      </c>
      <c r="I91">
        <v>5</v>
      </c>
      <c r="J91">
        <v>6</v>
      </c>
      <c r="K91" t="s">
        <v>647</v>
      </c>
      <c r="L91" t="s">
        <v>16</v>
      </c>
      <c r="M91" t="s">
        <v>17</v>
      </c>
    </row>
    <row r="92" spans="1:13" x14ac:dyDescent="0.25">
      <c r="A92" t="s">
        <v>343</v>
      </c>
      <c r="B92" t="s">
        <v>346</v>
      </c>
      <c r="C92">
        <v>1</v>
      </c>
      <c r="E92">
        <v>145</v>
      </c>
      <c r="F92">
        <v>5</v>
      </c>
      <c r="G92">
        <v>5</v>
      </c>
      <c r="H92">
        <v>4</v>
      </c>
      <c r="I92">
        <v>4</v>
      </c>
      <c r="J92">
        <v>10</v>
      </c>
      <c r="K92" t="s">
        <v>648</v>
      </c>
      <c r="L92" t="s">
        <v>276</v>
      </c>
      <c r="M92" t="s">
        <v>6</v>
      </c>
    </row>
    <row r="93" spans="1:13" x14ac:dyDescent="0.25">
      <c r="A93" t="s">
        <v>344</v>
      </c>
      <c r="B93" t="s">
        <v>347</v>
      </c>
      <c r="C93">
        <v>5</v>
      </c>
      <c r="E93">
        <v>140</v>
      </c>
      <c r="F93">
        <v>5</v>
      </c>
      <c r="G93">
        <v>5</v>
      </c>
      <c r="H93">
        <v>4</v>
      </c>
      <c r="I93">
        <v>5</v>
      </c>
      <c r="J93">
        <v>10</v>
      </c>
      <c r="K93" t="s">
        <v>649</v>
      </c>
      <c r="L93" t="s">
        <v>19</v>
      </c>
      <c r="M93" t="s">
        <v>271</v>
      </c>
    </row>
    <row r="94" spans="1:13" x14ac:dyDescent="0.25">
      <c r="A94" t="s">
        <v>348</v>
      </c>
      <c r="B94" t="s">
        <v>354</v>
      </c>
      <c r="C94">
        <v>16</v>
      </c>
      <c r="E94">
        <v>50</v>
      </c>
      <c r="F94">
        <v>5</v>
      </c>
      <c r="G94">
        <v>3</v>
      </c>
      <c r="H94">
        <v>3</v>
      </c>
      <c r="I94">
        <v>4</v>
      </c>
      <c r="J94">
        <v>10</v>
      </c>
      <c r="K94" t="s">
        <v>659</v>
      </c>
      <c r="L94" t="s">
        <v>17</v>
      </c>
      <c r="M94" t="s">
        <v>274</v>
      </c>
    </row>
    <row r="95" spans="1:13" x14ac:dyDescent="0.25">
      <c r="A95" t="s">
        <v>349</v>
      </c>
      <c r="B95" t="s">
        <v>451</v>
      </c>
      <c r="C95">
        <v>2</v>
      </c>
      <c r="E95">
        <v>65</v>
      </c>
      <c r="F95">
        <v>5</v>
      </c>
      <c r="G95">
        <v>3</v>
      </c>
      <c r="H95">
        <v>3</v>
      </c>
      <c r="I95">
        <v>3</v>
      </c>
      <c r="J95">
        <v>9</v>
      </c>
      <c r="K95" t="s">
        <v>660</v>
      </c>
      <c r="L95" t="s">
        <v>277</v>
      </c>
      <c r="M95" t="s">
        <v>274</v>
      </c>
    </row>
    <row r="96" spans="1:13" x14ac:dyDescent="0.25">
      <c r="A96" t="s">
        <v>350</v>
      </c>
      <c r="B96" t="s">
        <v>452</v>
      </c>
      <c r="C96">
        <v>4</v>
      </c>
      <c r="E96">
        <v>80</v>
      </c>
      <c r="F96">
        <v>6</v>
      </c>
      <c r="G96">
        <v>3</v>
      </c>
      <c r="H96">
        <v>3</v>
      </c>
      <c r="I96">
        <v>4</v>
      </c>
      <c r="J96">
        <v>10</v>
      </c>
      <c r="K96" t="s">
        <v>661</v>
      </c>
      <c r="L96" t="s">
        <v>269</v>
      </c>
      <c r="M96" t="s">
        <v>270</v>
      </c>
    </row>
    <row r="97" spans="1:13" x14ac:dyDescent="0.25">
      <c r="A97" t="s">
        <v>351</v>
      </c>
      <c r="B97" t="s">
        <v>355</v>
      </c>
      <c r="C97">
        <v>4</v>
      </c>
      <c r="E97">
        <v>90</v>
      </c>
      <c r="F97">
        <v>5</v>
      </c>
      <c r="G97">
        <v>4</v>
      </c>
      <c r="H97">
        <v>4</v>
      </c>
      <c r="I97" s="4" t="s">
        <v>14</v>
      </c>
      <c r="J97">
        <v>10</v>
      </c>
      <c r="K97" t="s">
        <v>662</v>
      </c>
      <c r="L97" t="s">
        <v>269</v>
      </c>
      <c r="M97" t="s">
        <v>16</v>
      </c>
    </row>
    <row r="98" spans="1:13" x14ac:dyDescent="0.25">
      <c r="A98" t="s">
        <v>352</v>
      </c>
      <c r="B98" t="s">
        <v>86</v>
      </c>
      <c r="C98">
        <v>4</v>
      </c>
      <c r="E98">
        <v>40</v>
      </c>
      <c r="F98">
        <v>6</v>
      </c>
      <c r="G98">
        <v>2</v>
      </c>
      <c r="H98">
        <v>3</v>
      </c>
      <c r="I98">
        <v>4</v>
      </c>
      <c r="J98">
        <v>8</v>
      </c>
      <c r="K98" t="s">
        <v>629</v>
      </c>
      <c r="L98" t="s">
        <v>16</v>
      </c>
      <c r="M98" t="s">
        <v>269</v>
      </c>
    </row>
    <row r="99" spans="1:13" x14ac:dyDescent="0.25">
      <c r="A99" t="s">
        <v>353</v>
      </c>
      <c r="B99" t="s">
        <v>356</v>
      </c>
      <c r="C99">
        <v>1</v>
      </c>
      <c r="E99">
        <v>115</v>
      </c>
      <c r="F99">
        <v>4</v>
      </c>
      <c r="G99">
        <v>5</v>
      </c>
      <c r="H99">
        <v>5</v>
      </c>
      <c r="I99">
        <v>5</v>
      </c>
      <c r="J99">
        <v>10</v>
      </c>
      <c r="K99" t="s">
        <v>620</v>
      </c>
      <c r="L99" t="s">
        <v>19</v>
      </c>
      <c r="M99" t="s">
        <v>271</v>
      </c>
    </row>
    <row r="100" spans="1:13" x14ac:dyDescent="0.25">
      <c r="A100" t="s">
        <v>131</v>
      </c>
      <c r="B100" t="s">
        <v>142</v>
      </c>
      <c r="C100">
        <v>12</v>
      </c>
      <c r="E100">
        <v>50</v>
      </c>
      <c r="F100">
        <v>6</v>
      </c>
      <c r="G100">
        <v>3</v>
      </c>
      <c r="H100">
        <v>3</v>
      </c>
      <c r="I100">
        <v>4</v>
      </c>
      <c r="J100">
        <v>9</v>
      </c>
      <c r="K100" t="s">
        <v>152</v>
      </c>
      <c r="L100" t="s">
        <v>17</v>
      </c>
      <c r="M100" t="s">
        <v>274</v>
      </c>
    </row>
    <row r="101" spans="1:13" x14ac:dyDescent="0.25">
      <c r="A101" t="s">
        <v>132</v>
      </c>
      <c r="B101" t="s">
        <v>143</v>
      </c>
      <c r="C101">
        <v>1</v>
      </c>
      <c r="E101">
        <v>80</v>
      </c>
      <c r="F101">
        <v>6</v>
      </c>
      <c r="G101">
        <v>3</v>
      </c>
      <c r="H101">
        <v>3</v>
      </c>
      <c r="I101">
        <v>3</v>
      </c>
      <c r="J101">
        <v>9</v>
      </c>
      <c r="K101" t="s">
        <v>650</v>
      </c>
      <c r="L101" t="s">
        <v>277</v>
      </c>
      <c r="M101" t="s">
        <v>274</v>
      </c>
    </row>
    <row r="102" spans="1:13" x14ac:dyDescent="0.25">
      <c r="A102" t="s">
        <v>133</v>
      </c>
      <c r="B102" t="s">
        <v>144</v>
      </c>
      <c r="C102">
        <v>1</v>
      </c>
      <c r="E102">
        <v>65</v>
      </c>
      <c r="F102">
        <v>8</v>
      </c>
      <c r="G102">
        <v>2</v>
      </c>
      <c r="H102">
        <v>3</v>
      </c>
      <c r="I102">
        <v>5</v>
      </c>
      <c r="J102">
        <v>8</v>
      </c>
      <c r="K102" t="s">
        <v>651</v>
      </c>
      <c r="L102" t="s">
        <v>6</v>
      </c>
      <c r="M102" t="s">
        <v>19</v>
      </c>
    </row>
    <row r="103" spans="1:13" x14ac:dyDescent="0.25">
      <c r="A103" t="s">
        <v>134</v>
      </c>
      <c r="B103" t="s">
        <v>145</v>
      </c>
      <c r="C103">
        <v>1</v>
      </c>
      <c r="E103">
        <v>90</v>
      </c>
      <c r="F103">
        <v>7</v>
      </c>
      <c r="G103">
        <v>3</v>
      </c>
      <c r="H103">
        <v>3</v>
      </c>
      <c r="I103">
        <v>4</v>
      </c>
      <c r="J103">
        <v>9</v>
      </c>
      <c r="K103" t="s">
        <v>652</v>
      </c>
      <c r="L103" t="s">
        <v>269</v>
      </c>
      <c r="M103" t="s">
        <v>16</v>
      </c>
    </row>
    <row r="104" spans="1:13" x14ac:dyDescent="0.25">
      <c r="A104" t="s">
        <v>135</v>
      </c>
      <c r="B104" t="s">
        <v>146</v>
      </c>
      <c r="C104">
        <v>2</v>
      </c>
      <c r="E104">
        <v>75</v>
      </c>
      <c r="F104">
        <v>4</v>
      </c>
      <c r="G104">
        <v>3</v>
      </c>
      <c r="H104">
        <v>4</v>
      </c>
      <c r="I104">
        <v>5</v>
      </c>
      <c r="J104">
        <v>10</v>
      </c>
      <c r="K104" t="s">
        <v>653</v>
      </c>
      <c r="L104" t="s">
        <v>269</v>
      </c>
      <c r="M104" t="s">
        <v>16</v>
      </c>
    </row>
    <row r="105" spans="1:13" x14ac:dyDescent="0.25">
      <c r="A105" t="s">
        <v>136</v>
      </c>
      <c r="B105" t="s">
        <v>147</v>
      </c>
      <c r="C105">
        <v>1</v>
      </c>
      <c r="E105">
        <v>85</v>
      </c>
      <c r="F105">
        <v>6</v>
      </c>
      <c r="G105">
        <v>3</v>
      </c>
      <c r="H105">
        <v>3</v>
      </c>
      <c r="I105">
        <v>4</v>
      </c>
      <c r="J105">
        <v>9</v>
      </c>
      <c r="K105" t="s">
        <v>654</v>
      </c>
      <c r="L105" t="s">
        <v>277</v>
      </c>
      <c r="M105" t="s">
        <v>274</v>
      </c>
    </row>
    <row r="106" spans="1:13" x14ac:dyDescent="0.25">
      <c r="A106" t="s">
        <v>137</v>
      </c>
      <c r="B106" t="s">
        <v>148</v>
      </c>
      <c r="C106">
        <v>1</v>
      </c>
      <c r="E106">
        <v>80</v>
      </c>
      <c r="F106">
        <v>5</v>
      </c>
      <c r="G106">
        <v>3</v>
      </c>
      <c r="H106">
        <v>3</v>
      </c>
      <c r="I106">
        <v>4</v>
      </c>
      <c r="J106">
        <v>10</v>
      </c>
      <c r="K106" t="s">
        <v>655</v>
      </c>
      <c r="L106" t="s">
        <v>269</v>
      </c>
      <c r="M106" t="s">
        <v>16</v>
      </c>
    </row>
    <row r="107" spans="1:13" x14ac:dyDescent="0.25">
      <c r="A107" t="s">
        <v>138</v>
      </c>
      <c r="B107" t="s">
        <v>149</v>
      </c>
      <c r="C107">
        <v>1</v>
      </c>
      <c r="E107">
        <v>95</v>
      </c>
      <c r="F107">
        <v>5</v>
      </c>
      <c r="G107">
        <v>3</v>
      </c>
      <c r="H107">
        <v>4</v>
      </c>
      <c r="I107" s="4" t="s">
        <v>14</v>
      </c>
      <c r="J107">
        <v>9</v>
      </c>
      <c r="K107" t="s">
        <v>656</v>
      </c>
      <c r="L107" t="s">
        <v>269</v>
      </c>
      <c r="M107" t="s">
        <v>16</v>
      </c>
    </row>
    <row r="108" spans="1:13" x14ac:dyDescent="0.25">
      <c r="A108" t="s">
        <v>139</v>
      </c>
      <c r="B108" t="s">
        <v>489</v>
      </c>
      <c r="C108">
        <v>2</v>
      </c>
      <c r="E108">
        <v>30</v>
      </c>
      <c r="F108">
        <v>5</v>
      </c>
      <c r="G108">
        <v>2</v>
      </c>
      <c r="H108">
        <v>3</v>
      </c>
      <c r="I108">
        <v>4</v>
      </c>
      <c r="J108">
        <v>7</v>
      </c>
      <c r="K108" t="s">
        <v>657</v>
      </c>
      <c r="L108" t="s">
        <v>16</v>
      </c>
      <c r="M108" t="s">
        <v>269</v>
      </c>
    </row>
    <row r="109" spans="1:13" x14ac:dyDescent="0.25">
      <c r="A109" t="s">
        <v>140</v>
      </c>
      <c r="B109" t="s">
        <v>459</v>
      </c>
      <c r="C109">
        <v>1</v>
      </c>
      <c r="D109" t="s">
        <v>151</v>
      </c>
      <c r="E109">
        <v>140</v>
      </c>
      <c r="F109">
        <v>5</v>
      </c>
      <c r="G109">
        <v>5</v>
      </c>
      <c r="H109">
        <v>4</v>
      </c>
      <c r="I109">
        <v>5</v>
      </c>
      <c r="J109">
        <v>10</v>
      </c>
      <c r="K109" t="s">
        <v>621</v>
      </c>
      <c r="L109" t="s">
        <v>19</v>
      </c>
      <c r="M109" t="s">
        <v>6</v>
      </c>
    </row>
    <row r="110" spans="1:13" x14ac:dyDescent="0.25">
      <c r="A110" t="s">
        <v>141</v>
      </c>
      <c r="B110" t="s">
        <v>592</v>
      </c>
      <c r="C110">
        <v>1</v>
      </c>
      <c r="D110" t="s">
        <v>151</v>
      </c>
      <c r="E110">
        <v>120</v>
      </c>
      <c r="F110">
        <v>2</v>
      </c>
      <c r="G110">
        <v>6</v>
      </c>
      <c r="H110">
        <v>5</v>
      </c>
      <c r="I110">
        <v>5</v>
      </c>
      <c r="J110">
        <v>11</v>
      </c>
      <c r="K110" t="s">
        <v>658</v>
      </c>
      <c r="L110" t="s">
        <v>19</v>
      </c>
      <c r="M110" t="s">
        <v>271</v>
      </c>
    </row>
    <row r="111" spans="1:13" x14ac:dyDescent="0.25">
      <c r="A111" t="s">
        <v>368</v>
      </c>
      <c r="B111" t="s">
        <v>373</v>
      </c>
      <c r="C111">
        <v>16</v>
      </c>
      <c r="E111">
        <v>50</v>
      </c>
      <c r="F111">
        <v>7</v>
      </c>
      <c r="G111">
        <v>3</v>
      </c>
      <c r="H111">
        <v>3</v>
      </c>
      <c r="I111">
        <v>4</v>
      </c>
      <c r="J111">
        <v>8</v>
      </c>
      <c r="K111" t="s">
        <v>152</v>
      </c>
      <c r="L111" t="s">
        <v>17</v>
      </c>
      <c r="M111" t="s">
        <v>284</v>
      </c>
    </row>
    <row r="112" spans="1:13" x14ac:dyDescent="0.25">
      <c r="A112" t="s">
        <v>369</v>
      </c>
      <c r="B112" t="s">
        <v>397</v>
      </c>
      <c r="C112">
        <v>2</v>
      </c>
      <c r="E112">
        <v>85</v>
      </c>
      <c r="F112">
        <v>7</v>
      </c>
      <c r="G112">
        <v>3</v>
      </c>
      <c r="H112">
        <v>3</v>
      </c>
      <c r="I112">
        <v>2</v>
      </c>
      <c r="J112">
        <v>8</v>
      </c>
      <c r="K112" t="s">
        <v>299</v>
      </c>
      <c r="L112" t="s">
        <v>277</v>
      </c>
      <c r="M112" t="s">
        <v>284</v>
      </c>
    </row>
    <row r="113" spans="1:13" x14ac:dyDescent="0.25">
      <c r="A113" t="s">
        <v>370</v>
      </c>
      <c r="B113" t="s">
        <v>453</v>
      </c>
      <c r="C113">
        <v>4</v>
      </c>
      <c r="E113">
        <v>85</v>
      </c>
      <c r="F113">
        <v>9</v>
      </c>
      <c r="G113">
        <v>2</v>
      </c>
      <c r="H113">
        <v>2</v>
      </c>
      <c r="I113">
        <v>4</v>
      </c>
      <c r="J113">
        <v>8</v>
      </c>
      <c r="K113" t="s">
        <v>23</v>
      </c>
      <c r="L113" t="s">
        <v>6</v>
      </c>
      <c r="M113" t="s">
        <v>285</v>
      </c>
    </row>
    <row r="114" spans="1:13" x14ac:dyDescent="0.25">
      <c r="A114" t="s">
        <v>371</v>
      </c>
      <c r="B114" t="s">
        <v>398</v>
      </c>
      <c r="C114">
        <v>2</v>
      </c>
      <c r="E114">
        <v>90</v>
      </c>
      <c r="F114">
        <v>7</v>
      </c>
      <c r="G114">
        <v>3</v>
      </c>
      <c r="H114">
        <v>3</v>
      </c>
      <c r="I114">
        <v>5</v>
      </c>
      <c r="J114">
        <v>9</v>
      </c>
      <c r="K114" t="s">
        <v>32</v>
      </c>
      <c r="L114" t="s">
        <v>269</v>
      </c>
      <c r="M114" t="s">
        <v>283</v>
      </c>
    </row>
    <row r="115" spans="1:13" x14ac:dyDescent="0.25">
      <c r="A115" t="s">
        <v>372</v>
      </c>
      <c r="B115" t="s">
        <v>374</v>
      </c>
      <c r="C115">
        <v>1</v>
      </c>
      <c r="E115">
        <v>150</v>
      </c>
      <c r="F115">
        <v>6</v>
      </c>
      <c r="G115">
        <v>5</v>
      </c>
      <c r="H115">
        <v>4</v>
      </c>
      <c r="I115" s="4" t="s">
        <v>14</v>
      </c>
      <c r="J115">
        <v>9</v>
      </c>
      <c r="K115" t="s">
        <v>617</v>
      </c>
      <c r="L115" t="s">
        <v>19</v>
      </c>
      <c r="M115" t="s">
        <v>279</v>
      </c>
    </row>
    <row r="116" spans="1:13" x14ac:dyDescent="0.25">
      <c r="A116" t="s">
        <v>433</v>
      </c>
      <c r="B116" t="s">
        <v>437</v>
      </c>
      <c r="C116">
        <v>16</v>
      </c>
      <c r="E116">
        <v>60</v>
      </c>
      <c r="F116">
        <v>6</v>
      </c>
      <c r="G116">
        <v>3</v>
      </c>
      <c r="H116">
        <v>3</v>
      </c>
      <c r="I116">
        <v>4</v>
      </c>
      <c r="J116">
        <v>9</v>
      </c>
      <c r="K116" t="s">
        <v>601</v>
      </c>
      <c r="L116" t="s">
        <v>17</v>
      </c>
      <c r="M116" t="s">
        <v>598</v>
      </c>
    </row>
    <row r="117" spans="1:13" x14ac:dyDescent="0.25">
      <c r="A117" t="s">
        <v>434</v>
      </c>
      <c r="B117" t="s">
        <v>457</v>
      </c>
      <c r="C117">
        <v>4</v>
      </c>
      <c r="E117">
        <v>80</v>
      </c>
      <c r="F117">
        <v>7</v>
      </c>
      <c r="G117">
        <v>2</v>
      </c>
      <c r="H117">
        <v>2</v>
      </c>
      <c r="I117">
        <v>4</v>
      </c>
      <c r="J117">
        <v>8</v>
      </c>
      <c r="K117" t="s">
        <v>599</v>
      </c>
      <c r="L117" t="s">
        <v>6</v>
      </c>
      <c r="M117" t="s">
        <v>276</v>
      </c>
    </row>
    <row r="118" spans="1:13" x14ac:dyDescent="0.25">
      <c r="A118" t="s">
        <v>435</v>
      </c>
      <c r="B118" t="s">
        <v>458</v>
      </c>
      <c r="C118">
        <v>4</v>
      </c>
      <c r="E118">
        <v>110</v>
      </c>
      <c r="F118">
        <v>7</v>
      </c>
      <c r="G118">
        <v>3</v>
      </c>
      <c r="H118">
        <v>3</v>
      </c>
      <c r="I118">
        <v>4</v>
      </c>
      <c r="J118">
        <v>9</v>
      </c>
      <c r="K118" t="s">
        <v>600</v>
      </c>
      <c r="L118" t="s">
        <v>574</v>
      </c>
      <c r="M118" t="s">
        <v>18</v>
      </c>
    </row>
    <row r="119" spans="1:13" x14ac:dyDescent="0.25">
      <c r="A119" t="s">
        <v>436</v>
      </c>
      <c r="B119" t="s">
        <v>320</v>
      </c>
      <c r="C119">
        <v>1</v>
      </c>
      <c r="E119">
        <v>140</v>
      </c>
      <c r="F119">
        <v>6</v>
      </c>
      <c r="G119">
        <v>5</v>
      </c>
      <c r="H119">
        <v>5</v>
      </c>
      <c r="I119" s="4" t="s">
        <v>14</v>
      </c>
      <c r="J119">
        <v>10</v>
      </c>
      <c r="K119" t="s">
        <v>641</v>
      </c>
      <c r="L119" t="s">
        <v>19</v>
      </c>
      <c r="M119" t="s">
        <v>6</v>
      </c>
    </row>
    <row r="120" spans="1:13" x14ac:dyDescent="0.25">
      <c r="A120" t="s">
        <v>375</v>
      </c>
      <c r="B120" t="s">
        <v>381</v>
      </c>
      <c r="C120">
        <v>16</v>
      </c>
      <c r="E120">
        <v>-15</v>
      </c>
      <c r="F120">
        <v>5</v>
      </c>
      <c r="G120">
        <v>1</v>
      </c>
      <c r="H120">
        <v>3</v>
      </c>
      <c r="I120">
        <v>5</v>
      </c>
      <c r="J120">
        <v>6</v>
      </c>
      <c r="K120" t="s">
        <v>663</v>
      </c>
      <c r="L120" t="s">
        <v>16</v>
      </c>
      <c r="M120" t="s">
        <v>17</v>
      </c>
    </row>
    <row r="121" spans="1:13" x14ac:dyDescent="0.25">
      <c r="A121" t="s">
        <v>376</v>
      </c>
      <c r="B121" t="s">
        <v>382</v>
      </c>
      <c r="C121">
        <v>2</v>
      </c>
      <c r="E121">
        <v>30</v>
      </c>
      <c r="F121">
        <v>5</v>
      </c>
      <c r="G121">
        <v>1</v>
      </c>
      <c r="H121">
        <v>3</v>
      </c>
      <c r="I121">
        <v>4</v>
      </c>
      <c r="J121">
        <v>6</v>
      </c>
      <c r="K121" t="s">
        <v>664</v>
      </c>
      <c r="L121" t="s">
        <v>270</v>
      </c>
      <c r="M121" t="s">
        <v>17</v>
      </c>
    </row>
    <row r="122" spans="1:13" x14ac:dyDescent="0.25">
      <c r="A122" t="s">
        <v>377</v>
      </c>
      <c r="B122" t="s">
        <v>383</v>
      </c>
      <c r="C122">
        <v>2</v>
      </c>
      <c r="E122">
        <v>20</v>
      </c>
      <c r="F122">
        <v>6</v>
      </c>
      <c r="G122">
        <v>1</v>
      </c>
      <c r="H122">
        <v>3</v>
      </c>
      <c r="I122">
        <v>5</v>
      </c>
      <c r="J122">
        <v>6</v>
      </c>
      <c r="K122" t="s">
        <v>665</v>
      </c>
      <c r="L122" t="s">
        <v>16</v>
      </c>
      <c r="M122" t="s">
        <v>17</v>
      </c>
    </row>
    <row r="123" spans="1:13" x14ac:dyDescent="0.25">
      <c r="A123" t="s">
        <v>378</v>
      </c>
      <c r="B123" t="s">
        <v>384</v>
      </c>
      <c r="C123">
        <v>2</v>
      </c>
      <c r="E123">
        <v>20</v>
      </c>
      <c r="F123">
        <v>6</v>
      </c>
      <c r="G123">
        <v>1</v>
      </c>
      <c r="H123">
        <v>3</v>
      </c>
      <c r="I123">
        <v>5</v>
      </c>
      <c r="J123">
        <v>6</v>
      </c>
      <c r="K123" t="s">
        <v>666</v>
      </c>
      <c r="L123" t="s">
        <v>16</v>
      </c>
      <c r="M123" t="s">
        <v>17</v>
      </c>
    </row>
    <row r="124" spans="1:13" x14ac:dyDescent="0.25">
      <c r="A124" t="s">
        <v>379</v>
      </c>
      <c r="B124" t="s">
        <v>385</v>
      </c>
      <c r="C124">
        <v>2</v>
      </c>
      <c r="E124">
        <v>105</v>
      </c>
      <c r="F124">
        <v>4</v>
      </c>
      <c r="G124">
        <v>5</v>
      </c>
      <c r="H124">
        <v>5</v>
      </c>
      <c r="I124" s="4" t="s">
        <v>14</v>
      </c>
      <c r="J124">
        <v>9</v>
      </c>
      <c r="K124" t="s">
        <v>667</v>
      </c>
      <c r="L124" t="s">
        <v>19</v>
      </c>
      <c r="M124" t="s">
        <v>6</v>
      </c>
    </row>
    <row r="125" spans="1:13" x14ac:dyDescent="0.25">
      <c r="A125" t="s">
        <v>380</v>
      </c>
      <c r="B125" t="s">
        <v>191</v>
      </c>
      <c r="C125">
        <v>2</v>
      </c>
      <c r="E125">
        <v>115</v>
      </c>
      <c r="F125">
        <v>4</v>
      </c>
      <c r="G125">
        <v>5</v>
      </c>
      <c r="H125">
        <v>5</v>
      </c>
      <c r="I125">
        <v>5</v>
      </c>
      <c r="J125">
        <v>10</v>
      </c>
      <c r="K125" t="s">
        <v>619</v>
      </c>
      <c r="L125" t="s">
        <v>19</v>
      </c>
      <c r="M125" t="s">
        <v>271</v>
      </c>
    </row>
    <row r="126" spans="1:13" x14ac:dyDescent="0.25">
      <c r="A126" t="s">
        <v>357</v>
      </c>
      <c r="B126" t="s">
        <v>362</v>
      </c>
      <c r="C126">
        <v>12</v>
      </c>
      <c r="E126">
        <v>40</v>
      </c>
      <c r="F126">
        <v>5</v>
      </c>
      <c r="G126">
        <v>3</v>
      </c>
      <c r="H126">
        <v>4</v>
      </c>
      <c r="I126">
        <v>6</v>
      </c>
      <c r="J126">
        <v>8</v>
      </c>
      <c r="K126" t="s">
        <v>363</v>
      </c>
      <c r="L126" t="s">
        <v>17</v>
      </c>
      <c r="M126" t="s">
        <v>274</v>
      </c>
    </row>
    <row r="127" spans="1:13" x14ac:dyDescent="0.25">
      <c r="A127" t="s">
        <v>358</v>
      </c>
      <c r="B127" t="s">
        <v>326</v>
      </c>
      <c r="C127">
        <v>12</v>
      </c>
      <c r="E127">
        <v>40</v>
      </c>
      <c r="F127">
        <v>4</v>
      </c>
      <c r="G127">
        <v>3</v>
      </c>
      <c r="H127">
        <v>4</v>
      </c>
      <c r="I127" s="4" t="s">
        <v>14</v>
      </c>
      <c r="J127">
        <v>9</v>
      </c>
      <c r="K127" t="s">
        <v>327</v>
      </c>
      <c r="L127" t="s">
        <v>17</v>
      </c>
      <c r="M127" t="s">
        <v>274</v>
      </c>
    </row>
    <row r="128" spans="1:13" x14ac:dyDescent="0.25">
      <c r="A128" t="s">
        <v>359</v>
      </c>
      <c r="B128" t="s">
        <v>328</v>
      </c>
      <c r="C128">
        <v>4</v>
      </c>
      <c r="E128">
        <v>75</v>
      </c>
      <c r="F128">
        <v>7</v>
      </c>
      <c r="G128">
        <v>3</v>
      </c>
      <c r="H128">
        <v>3</v>
      </c>
      <c r="I128">
        <v>4</v>
      </c>
      <c r="J128">
        <v>8</v>
      </c>
      <c r="K128" t="s">
        <v>23</v>
      </c>
      <c r="L128" t="s">
        <v>6</v>
      </c>
      <c r="M128" t="s">
        <v>276</v>
      </c>
    </row>
    <row r="129" spans="1:13" x14ac:dyDescent="0.25">
      <c r="A129" t="s">
        <v>360</v>
      </c>
      <c r="B129" t="s">
        <v>364</v>
      </c>
      <c r="C129">
        <v>2</v>
      </c>
      <c r="E129">
        <v>90</v>
      </c>
      <c r="F129">
        <v>6</v>
      </c>
      <c r="G129">
        <v>3</v>
      </c>
      <c r="H129">
        <v>3</v>
      </c>
      <c r="I129">
        <v>5</v>
      </c>
      <c r="J129">
        <v>9</v>
      </c>
      <c r="K129" t="s">
        <v>365</v>
      </c>
      <c r="L129" t="s">
        <v>269</v>
      </c>
      <c r="M129" t="s">
        <v>270</v>
      </c>
    </row>
    <row r="130" spans="1:13" x14ac:dyDescent="0.25">
      <c r="A130" t="s">
        <v>361</v>
      </c>
      <c r="B130" t="s">
        <v>366</v>
      </c>
      <c r="C130">
        <v>2</v>
      </c>
      <c r="E130">
        <v>125</v>
      </c>
      <c r="F130">
        <v>3</v>
      </c>
      <c r="G130">
        <v>5</v>
      </c>
      <c r="H130">
        <v>5</v>
      </c>
      <c r="I130" s="4" t="s">
        <v>14</v>
      </c>
      <c r="J130">
        <v>10</v>
      </c>
      <c r="K130" t="s">
        <v>367</v>
      </c>
      <c r="L130" t="s">
        <v>19</v>
      </c>
      <c r="M130" t="s">
        <v>6</v>
      </c>
    </row>
    <row r="131" spans="1:13" x14ac:dyDescent="0.25">
      <c r="A131" t="s">
        <v>693</v>
      </c>
      <c r="B131" t="s">
        <v>362</v>
      </c>
      <c r="C131">
        <v>16</v>
      </c>
      <c r="E131">
        <v>40</v>
      </c>
      <c r="F131">
        <v>5</v>
      </c>
      <c r="G131">
        <v>3</v>
      </c>
      <c r="H131">
        <v>4</v>
      </c>
      <c r="I131">
        <v>6</v>
      </c>
      <c r="J131">
        <v>8</v>
      </c>
      <c r="K131" t="s">
        <v>363</v>
      </c>
      <c r="L131" t="s">
        <v>17</v>
      </c>
      <c r="M131" t="s">
        <v>274</v>
      </c>
    </row>
    <row r="132" spans="1:13" x14ac:dyDescent="0.25">
      <c r="A132" t="s">
        <v>694</v>
      </c>
      <c r="B132" t="s">
        <v>430</v>
      </c>
      <c r="C132">
        <v>2</v>
      </c>
      <c r="E132">
        <v>70</v>
      </c>
      <c r="F132">
        <v>6</v>
      </c>
      <c r="G132">
        <v>3</v>
      </c>
      <c r="H132">
        <v>4</v>
      </c>
      <c r="I132">
        <v>3</v>
      </c>
      <c r="J132">
        <v>8</v>
      </c>
      <c r="K132" t="s">
        <v>572</v>
      </c>
      <c r="L132" t="s">
        <v>277</v>
      </c>
      <c r="M132" t="s">
        <v>16</v>
      </c>
    </row>
    <row r="133" spans="1:13" x14ac:dyDescent="0.25">
      <c r="A133" t="s">
        <v>695</v>
      </c>
      <c r="B133" t="s">
        <v>431</v>
      </c>
      <c r="C133">
        <v>2</v>
      </c>
      <c r="E133">
        <v>90</v>
      </c>
      <c r="F133">
        <v>6</v>
      </c>
      <c r="G133">
        <v>3</v>
      </c>
      <c r="H133">
        <v>4</v>
      </c>
      <c r="I133">
        <v>6</v>
      </c>
      <c r="J133">
        <v>9</v>
      </c>
      <c r="K133" t="s">
        <v>573</v>
      </c>
      <c r="L133" t="s">
        <v>269</v>
      </c>
      <c r="M133" t="s">
        <v>270</v>
      </c>
    </row>
    <row r="134" spans="1:13" x14ac:dyDescent="0.25">
      <c r="A134" t="s">
        <v>696</v>
      </c>
      <c r="B134" t="s">
        <v>432</v>
      </c>
      <c r="C134">
        <v>4</v>
      </c>
      <c r="E134">
        <v>100</v>
      </c>
      <c r="F134">
        <v>4</v>
      </c>
      <c r="G134">
        <v>5</v>
      </c>
      <c r="H134">
        <v>5</v>
      </c>
      <c r="I134" s="4" t="s">
        <v>14</v>
      </c>
      <c r="J134">
        <v>10</v>
      </c>
      <c r="K134" t="s">
        <v>673</v>
      </c>
      <c r="L134" t="s">
        <v>19</v>
      </c>
      <c r="M134" t="s">
        <v>6</v>
      </c>
    </row>
    <row r="135" spans="1:13" x14ac:dyDescent="0.25">
      <c r="A135" t="s">
        <v>387</v>
      </c>
      <c r="B135" t="s">
        <v>395</v>
      </c>
      <c r="C135">
        <v>12</v>
      </c>
      <c r="E135">
        <v>40</v>
      </c>
      <c r="F135">
        <v>6</v>
      </c>
      <c r="G135">
        <v>2</v>
      </c>
      <c r="H135">
        <v>3</v>
      </c>
      <c r="I135">
        <v>4</v>
      </c>
      <c r="J135">
        <v>8</v>
      </c>
      <c r="K135" t="s">
        <v>629</v>
      </c>
      <c r="L135" t="s">
        <v>104</v>
      </c>
      <c r="M135" t="s">
        <v>269</v>
      </c>
    </row>
    <row r="136" spans="1:13" x14ac:dyDescent="0.25">
      <c r="A136" t="s">
        <v>388</v>
      </c>
      <c r="B136" t="s">
        <v>396</v>
      </c>
      <c r="C136">
        <v>6</v>
      </c>
      <c r="E136">
        <v>15</v>
      </c>
      <c r="F136">
        <v>5</v>
      </c>
      <c r="G136">
        <v>1</v>
      </c>
      <c r="H136">
        <v>3</v>
      </c>
      <c r="I136">
        <v>5</v>
      </c>
      <c r="J136">
        <v>6</v>
      </c>
      <c r="K136" t="s">
        <v>663</v>
      </c>
      <c r="L136" t="s">
        <v>104</v>
      </c>
      <c r="M136" t="s">
        <v>17</v>
      </c>
    </row>
    <row r="137" spans="1:13" x14ac:dyDescent="0.25">
      <c r="A137" t="s">
        <v>389</v>
      </c>
      <c r="B137" t="s">
        <v>460</v>
      </c>
      <c r="C137">
        <v>3</v>
      </c>
      <c r="E137">
        <v>50</v>
      </c>
      <c r="F137">
        <v>7</v>
      </c>
      <c r="G137">
        <v>3</v>
      </c>
      <c r="H137">
        <v>3</v>
      </c>
      <c r="I137">
        <v>4</v>
      </c>
      <c r="J137">
        <v>8</v>
      </c>
      <c r="K137" t="s">
        <v>668</v>
      </c>
      <c r="L137" t="s">
        <v>278</v>
      </c>
      <c r="M137" t="s">
        <v>274</v>
      </c>
    </row>
    <row r="138" spans="1:13" x14ac:dyDescent="0.25">
      <c r="A138" t="s">
        <v>390</v>
      </c>
      <c r="B138" t="s">
        <v>461</v>
      </c>
      <c r="C138">
        <v>1</v>
      </c>
      <c r="E138">
        <v>85</v>
      </c>
      <c r="F138">
        <v>7</v>
      </c>
      <c r="G138">
        <v>3</v>
      </c>
      <c r="H138">
        <v>3</v>
      </c>
      <c r="I138">
        <v>2</v>
      </c>
      <c r="J138">
        <v>8</v>
      </c>
      <c r="K138" t="s">
        <v>669</v>
      </c>
      <c r="L138" t="s">
        <v>275</v>
      </c>
      <c r="M138" t="s">
        <v>274</v>
      </c>
    </row>
    <row r="139" spans="1:13" x14ac:dyDescent="0.25">
      <c r="A139" t="s">
        <v>391</v>
      </c>
      <c r="B139" t="s">
        <v>462</v>
      </c>
      <c r="C139">
        <v>1</v>
      </c>
      <c r="E139">
        <v>85</v>
      </c>
      <c r="F139">
        <v>9</v>
      </c>
      <c r="G139">
        <v>2</v>
      </c>
      <c r="H139">
        <v>2</v>
      </c>
      <c r="I139">
        <v>4</v>
      </c>
      <c r="J139">
        <v>8</v>
      </c>
      <c r="K139" t="s">
        <v>670</v>
      </c>
      <c r="L139" t="s">
        <v>279</v>
      </c>
      <c r="M139" t="s">
        <v>276</v>
      </c>
    </row>
    <row r="140" spans="1:13" x14ac:dyDescent="0.25">
      <c r="A140" t="s">
        <v>392</v>
      </c>
      <c r="B140" t="s">
        <v>463</v>
      </c>
      <c r="C140">
        <v>1</v>
      </c>
      <c r="E140">
        <v>90</v>
      </c>
      <c r="F140">
        <v>7</v>
      </c>
      <c r="G140">
        <v>3</v>
      </c>
      <c r="H140">
        <v>3</v>
      </c>
      <c r="I140">
        <v>5</v>
      </c>
      <c r="J140">
        <v>9</v>
      </c>
      <c r="K140" t="s">
        <v>671</v>
      </c>
      <c r="L140" t="s">
        <v>272</v>
      </c>
      <c r="M140" t="s">
        <v>270</v>
      </c>
    </row>
    <row r="141" spans="1:13" x14ac:dyDescent="0.25">
      <c r="A141" t="s">
        <v>393</v>
      </c>
      <c r="B141" t="s">
        <v>399</v>
      </c>
      <c r="C141">
        <v>1</v>
      </c>
      <c r="D141" t="s">
        <v>151</v>
      </c>
      <c r="E141">
        <v>115</v>
      </c>
      <c r="F141">
        <v>4</v>
      </c>
      <c r="G141">
        <v>5</v>
      </c>
      <c r="H141">
        <v>5</v>
      </c>
      <c r="I141">
        <v>5</v>
      </c>
      <c r="J141">
        <v>10</v>
      </c>
      <c r="K141" t="s">
        <v>620</v>
      </c>
      <c r="L141" t="s">
        <v>273</v>
      </c>
      <c r="M141" t="s">
        <v>271</v>
      </c>
    </row>
    <row r="142" spans="1:13" x14ac:dyDescent="0.25">
      <c r="A142" t="s">
        <v>394</v>
      </c>
      <c r="B142" t="s">
        <v>400</v>
      </c>
      <c r="C142">
        <v>1</v>
      </c>
      <c r="D142" t="s">
        <v>151</v>
      </c>
      <c r="E142">
        <v>150</v>
      </c>
      <c r="F142">
        <v>6</v>
      </c>
      <c r="G142">
        <v>5</v>
      </c>
      <c r="H142">
        <v>4</v>
      </c>
      <c r="I142" s="4" t="s">
        <v>14</v>
      </c>
      <c r="J142">
        <v>9</v>
      </c>
      <c r="K142" t="s">
        <v>617</v>
      </c>
      <c r="L142" t="s">
        <v>273</v>
      </c>
      <c r="M142" t="s">
        <v>6</v>
      </c>
    </row>
    <row r="143" spans="1:13" x14ac:dyDescent="0.25">
      <c r="A143" t="s">
        <v>438</v>
      </c>
      <c r="B143" t="s">
        <v>440</v>
      </c>
      <c r="C143">
        <v>16</v>
      </c>
      <c r="E143">
        <v>40</v>
      </c>
      <c r="F143">
        <v>6</v>
      </c>
      <c r="G143">
        <v>3</v>
      </c>
      <c r="H143">
        <v>3</v>
      </c>
      <c r="I143">
        <v>4</v>
      </c>
      <c r="J143">
        <v>8</v>
      </c>
      <c r="K143" t="s">
        <v>152</v>
      </c>
      <c r="L143" t="s">
        <v>17</v>
      </c>
      <c r="M143" t="s">
        <v>274</v>
      </c>
    </row>
    <row r="144" spans="1:13" x14ac:dyDescent="0.25">
      <c r="A144" t="s">
        <v>439</v>
      </c>
      <c r="B144" t="s">
        <v>950</v>
      </c>
      <c r="C144">
        <v>2</v>
      </c>
      <c r="E144">
        <v>100</v>
      </c>
      <c r="F144">
        <v>8</v>
      </c>
      <c r="G144">
        <v>3</v>
      </c>
      <c r="H144">
        <v>2</v>
      </c>
      <c r="I144">
        <v>4</v>
      </c>
      <c r="J144">
        <v>8</v>
      </c>
      <c r="K144" t="s">
        <v>953</v>
      </c>
      <c r="L144" t="s">
        <v>6</v>
      </c>
      <c r="M144" t="s">
        <v>276</v>
      </c>
    </row>
    <row r="145" spans="1:13" x14ac:dyDescent="0.25">
      <c r="A145" t="s">
        <v>947</v>
      </c>
      <c r="B145" t="s">
        <v>951</v>
      </c>
      <c r="C145">
        <v>2</v>
      </c>
      <c r="E145">
        <v>110</v>
      </c>
      <c r="F145">
        <v>6</v>
      </c>
      <c r="G145">
        <v>4</v>
      </c>
      <c r="H145">
        <v>2</v>
      </c>
      <c r="I145">
        <v>2</v>
      </c>
      <c r="J145">
        <v>9</v>
      </c>
      <c r="K145" t="s">
        <v>955</v>
      </c>
      <c r="L145" t="s">
        <v>271</v>
      </c>
      <c r="M145" t="s">
        <v>19</v>
      </c>
    </row>
    <row r="146" spans="1:13" x14ac:dyDescent="0.25">
      <c r="A146" t="s">
        <v>948</v>
      </c>
      <c r="B146" t="s">
        <v>610</v>
      </c>
      <c r="C146">
        <v>2</v>
      </c>
      <c r="E146">
        <v>110</v>
      </c>
      <c r="F146">
        <v>6</v>
      </c>
      <c r="G146">
        <v>4</v>
      </c>
      <c r="H146">
        <v>2</v>
      </c>
      <c r="I146">
        <v>5</v>
      </c>
      <c r="J146">
        <v>9</v>
      </c>
      <c r="K146" t="s">
        <v>956</v>
      </c>
      <c r="L146" t="s">
        <v>574</v>
      </c>
      <c r="M146" t="s">
        <v>14</v>
      </c>
    </row>
    <row r="147" spans="1:13" x14ac:dyDescent="0.25">
      <c r="A147" t="s">
        <v>949</v>
      </c>
      <c r="B147" t="s">
        <v>952</v>
      </c>
      <c r="C147">
        <v>1</v>
      </c>
      <c r="E147">
        <v>150</v>
      </c>
      <c r="F147">
        <v>5</v>
      </c>
      <c r="G147">
        <v>5</v>
      </c>
      <c r="H147">
        <v>4</v>
      </c>
      <c r="I147" t="s">
        <v>14</v>
      </c>
      <c r="J147">
        <v>10</v>
      </c>
      <c r="K147" t="s">
        <v>954</v>
      </c>
      <c r="L147" t="s">
        <v>19</v>
      </c>
      <c r="M147" t="s">
        <v>6</v>
      </c>
    </row>
    <row r="148" spans="1:13" x14ac:dyDescent="0.25">
      <c r="A148" t="s">
        <v>401</v>
      </c>
      <c r="B148" t="s">
        <v>406</v>
      </c>
      <c r="C148">
        <v>12</v>
      </c>
      <c r="E148">
        <v>70</v>
      </c>
      <c r="F148">
        <v>7</v>
      </c>
      <c r="G148">
        <v>3</v>
      </c>
      <c r="H148">
        <v>2</v>
      </c>
      <c r="I148">
        <v>4</v>
      </c>
      <c r="J148">
        <v>8</v>
      </c>
      <c r="K148" t="s">
        <v>152</v>
      </c>
      <c r="L148" t="s">
        <v>6</v>
      </c>
      <c r="M148" t="s">
        <v>19</v>
      </c>
    </row>
    <row r="149" spans="1:13" x14ac:dyDescent="0.25">
      <c r="A149" t="s">
        <v>402</v>
      </c>
      <c r="B149" t="s">
        <v>454</v>
      </c>
      <c r="C149">
        <v>2</v>
      </c>
      <c r="E149">
        <v>95</v>
      </c>
      <c r="F149">
        <v>7</v>
      </c>
      <c r="G149">
        <v>3</v>
      </c>
      <c r="H149">
        <v>2</v>
      </c>
      <c r="I149">
        <v>2</v>
      </c>
      <c r="J149">
        <v>8</v>
      </c>
      <c r="K149" t="s">
        <v>63</v>
      </c>
      <c r="L149" t="s">
        <v>271</v>
      </c>
      <c r="M149" t="s">
        <v>19</v>
      </c>
    </row>
    <row r="150" spans="1:13" x14ac:dyDescent="0.25">
      <c r="A150" t="s">
        <v>403</v>
      </c>
      <c r="B150" t="s">
        <v>455</v>
      </c>
      <c r="C150">
        <v>4</v>
      </c>
      <c r="E150">
        <v>90</v>
      </c>
      <c r="F150">
        <v>8</v>
      </c>
      <c r="G150">
        <v>2</v>
      </c>
      <c r="H150">
        <v>2</v>
      </c>
      <c r="I150">
        <v>4</v>
      </c>
      <c r="J150">
        <v>8</v>
      </c>
      <c r="K150" t="s">
        <v>300</v>
      </c>
      <c r="L150" t="s">
        <v>6</v>
      </c>
      <c r="M150" t="s">
        <v>276</v>
      </c>
    </row>
    <row r="151" spans="1:13" x14ac:dyDescent="0.25">
      <c r="A151" t="s">
        <v>404</v>
      </c>
      <c r="B151" t="s">
        <v>407</v>
      </c>
      <c r="C151">
        <v>2</v>
      </c>
      <c r="E151">
        <v>125</v>
      </c>
      <c r="F151">
        <v>8</v>
      </c>
      <c r="G151">
        <v>3</v>
      </c>
      <c r="H151">
        <v>2</v>
      </c>
      <c r="I151">
        <v>4</v>
      </c>
      <c r="J151">
        <v>8</v>
      </c>
      <c r="K151" t="s">
        <v>413</v>
      </c>
      <c r="L151" t="s">
        <v>6</v>
      </c>
      <c r="M151" t="s">
        <v>276</v>
      </c>
    </row>
    <row r="152" spans="1:13" x14ac:dyDescent="0.25">
      <c r="A152" t="s">
        <v>405</v>
      </c>
      <c r="B152" t="s">
        <v>408</v>
      </c>
      <c r="C152">
        <v>1</v>
      </c>
      <c r="E152">
        <v>120</v>
      </c>
      <c r="F152">
        <v>2</v>
      </c>
      <c r="G152">
        <v>6</v>
      </c>
      <c r="H152">
        <v>5</v>
      </c>
      <c r="I152">
        <v>5</v>
      </c>
      <c r="J152">
        <v>11</v>
      </c>
      <c r="K152" t="s">
        <v>672</v>
      </c>
      <c r="L152" t="s">
        <v>19</v>
      </c>
      <c r="M152" t="s">
        <v>6</v>
      </c>
    </row>
  </sheetData>
  <sortState xmlns:xlrd2="http://schemas.microsoft.com/office/spreadsheetml/2017/richdata2" ref="A1:M149">
    <sortCondition ref="A1:A149"/>
  </sortState>
  <phoneticPr fontId="2"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5B35D625864A45BB7720DBFF280B1F" ma:contentTypeVersion="13" ma:contentTypeDescription="Create a new document." ma:contentTypeScope="" ma:versionID="486be156e8a0be00da70277cc6927105">
  <xsd:schema xmlns:xsd="http://www.w3.org/2001/XMLSchema" xmlns:xs="http://www.w3.org/2001/XMLSchema" xmlns:p="http://schemas.microsoft.com/office/2006/metadata/properties" xmlns:ns3="4e085d26-5fac-422e-a1bd-a63e4c4beac8" xmlns:ns4="0de59a04-bcb6-477e-ab8e-858ea0b44929" targetNamespace="http://schemas.microsoft.com/office/2006/metadata/properties" ma:root="true" ma:fieldsID="7789448872ccc8cad544212c240aec2d" ns3:_="" ns4:_="">
    <xsd:import namespace="4e085d26-5fac-422e-a1bd-a63e4c4beac8"/>
    <xsd:import namespace="0de59a04-bcb6-477e-ab8e-858ea0b4492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85d26-5fac-422e-a1bd-a63e4c4bea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e59a04-bcb6-477e-ab8e-858ea0b449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311F52-39AB-4703-9976-D75A87D6943A}">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0de59a04-bcb6-477e-ab8e-858ea0b44929"/>
    <ds:schemaRef ds:uri="4e085d26-5fac-422e-a1bd-a63e4c4beac8"/>
    <ds:schemaRef ds:uri="http://www.w3.org/XML/1998/namespace"/>
  </ds:schemaRefs>
</ds:datastoreItem>
</file>

<file path=customXml/itemProps2.xml><?xml version="1.0" encoding="utf-8"?>
<ds:datastoreItem xmlns:ds="http://schemas.openxmlformats.org/officeDocument/2006/customXml" ds:itemID="{B6584EBF-5501-4B80-90F3-EA4887963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85d26-5fac-422e-a1bd-a63e4c4beac8"/>
    <ds:schemaRef ds:uri="0de59a04-bcb6-477e-ab8e-858ea0b44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D86ABF-9FDF-4655-8231-90327187E3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File updates</vt:lpstr>
      <vt:lpstr>Overview</vt:lpstr>
      <vt:lpstr>Eurobowl Rules</vt:lpstr>
      <vt:lpstr>Team 1</vt:lpstr>
      <vt:lpstr>Team 2</vt:lpstr>
      <vt:lpstr>Team 3</vt:lpstr>
      <vt:lpstr>Team 4</vt:lpstr>
      <vt:lpstr>Available Rosters</vt:lpstr>
      <vt:lpstr>Available Skills</vt:lpstr>
      <vt:lpstr>Credits</vt:lpstr>
      <vt:lpstr>Blessings</vt:lpstr>
      <vt:lpstr>Star_Players</vt:lpstr>
      <vt:lpstr>Teams</vt:lpstr>
      <vt:lpstr>Players</vt:lpstr>
      <vt:lpstr>PlayerList</vt:lpstr>
      <vt:lpstr>PLAYERS</vt:lpstr>
      <vt:lpstr>Overview!Print_Area</vt:lpstr>
      <vt:lpstr>'Team 1'!Print_Area</vt:lpstr>
      <vt:lpstr>'Team 2'!Print_Area</vt:lpstr>
      <vt:lpstr>'Team 3'!Print_Area</vt:lpstr>
      <vt:lpstr>'Team 4'!Print_Area</vt:lpstr>
      <vt:lpstr>Special_Rules_Full_Names</vt:lpstr>
      <vt:lpstr>SpecialRules</vt:lpstr>
      <vt:lpstr>SquadName</vt:lpstr>
      <vt:lpstr>StarplayerList</vt:lpstr>
      <vt:lpstr>STARS</vt:lpstr>
      <vt:lpstr>TEAMS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Blaetter, Torsten;Alexander Weiss</dc:creator>
  <cp:lastModifiedBy>Alexander Weiss</cp:lastModifiedBy>
  <cp:lastPrinted>2024-04-27T07:36:09Z</cp:lastPrinted>
  <dcterms:created xsi:type="dcterms:W3CDTF">2020-08-18T06:26:38Z</dcterms:created>
  <dcterms:modified xsi:type="dcterms:W3CDTF">2024-05-01T17:29:34Z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0x010100BE5B35D625864A45BB7720DBFF280B1F</vt:lpwstr>
  </property>
  <property fmtid="{D5CDD505-2E9C-101B-9397-08002B2CF9AE}" pid="3" name="MSIP_Label_defa4170-0d19-0005-0004-bc88714345d2_Enabled">
    <vt:lpwstr>true</vt:lpwstr>
  </property>
  <property fmtid="{D5CDD505-2E9C-101B-9397-08002B2CF9AE}" pid="4" name="MSIP_Label_defa4170-0d19-0005-0004-bc88714345d2_SetDate">
    <vt:lpwstr>2024-04-11T12:32:01Z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3047e552-19ba-4ca2-a020-799287660985</vt:lpwstr>
  </property>
  <property fmtid="{D5CDD505-2E9C-101B-9397-08002B2CF9AE}" pid="8" name="MSIP_Label_defa4170-0d19-0005-0004-bc88714345d2_ActionId">
    <vt:lpwstr>1e5091a9-ba29-43de-b053-31c017fde2e3</vt:lpwstr>
  </property>
  <property fmtid="{D5CDD505-2E9C-101B-9397-08002B2CF9AE}" pid="9" name="MSIP_Label_defa4170-0d19-0005-0004-bc88714345d2_ContentBits">
    <vt:lpwstr>0</vt:lpwstr>
  </property>
</Properties>
</file>